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01_Input_Template" sheetId="1" state="visible" r:id="rId3"/>
    <sheet name="02_Derived_Values" sheetId="2" state="visible" r:id="rId4"/>
    <sheet name="03_Output_Decision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<sst xmlns="http://schemas.openxmlformats.org/spreadsheetml/2006/main" count="540" uniqueCount="393">
  <si>
    <t xml:space="preserve">Stock Evaluation Model: Peter Lynch and Warren Buffett Method (v2)</t>
  </si>
  <si>
    <t xml:space="preserve">Fill the amber cells only. Everything else is formula-driven. Every assumption is checked against history on the Derived Values sheet. Leaving a default in place is itself flagged.</t>
  </si>
  <si>
    <t xml:space="preserve">Table: tblCompanyProfile (company and market inputs)</t>
  </si>
  <si>
    <t xml:space="preserve">Input Field</t>
  </si>
  <si>
    <t xml:space="preserve">User Input</t>
  </si>
  <si>
    <t xml:space="preserve">Unit</t>
  </si>
  <si>
    <t xml:space="preserve">Required?</t>
  </si>
  <si>
    <t xml:space="preserve">Example / Guidance</t>
  </si>
  <si>
    <t xml:space="preserve">Source Type</t>
  </si>
  <si>
    <t xml:space="preserve">Source URL / Notes</t>
  </si>
  <si>
    <t xml:space="preserve">Model Cell Name</t>
  </si>
  <si>
    <t xml:space="preserve">Ticker</t>
  </si>
  <si>
    <t xml:space="preserve">DEMO</t>
  </si>
  <si>
    <t xml:space="preserve">Text</t>
  </si>
  <si>
    <t xml:space="preserve">Yes</t>
  </si>
  <si>
    <t xml:space="preserve">Ticker symbol, e.g. AAPL</t>
  </si>
  <si>
    <t xml:space="preserve">Market data</t>
  </si>
  <si>
    <t xml:space="preserve">Exchange / broker</t>
  </si>
  <si>
    <t xml:space="preserve">inpTicker</t>
  </si>
  <si>
    <t xml:space="preserve">Company Name</t>
  </si>
  <si>
    <t xml:space="preserve">Example Co</t>
  </si>
  <si>
    <t xml:space="preserve">Legal company name</t>
  </si>
  <si>
    <t xml:space="preserve">Company filing</t>
  </si>
  <si>
    <t xml:space="preserve">10-K / annual report</t>
  </si>
  <si>
    <t xml:space="preserve">inpCompanyName</t>
  </si>
  <si>
    <t xml:space="preserve">Currency</t>
  </si>
  <si>
    <t xml:space="preserve">USD</t>
  </si>
  <si>
    <t xml:space="preserve">Reporting currency</t>
  </si>
  <si>
    <t xml:space="preserve">Annual report</t>
  </si>
  <si>
    <t xml:space="preserve">inpCurrency</t>
  </si>
  <si>
    <t xml:space="preserve">Sector / Business Type</t>
  </si>
  <si>
    <t xml:space="preserve">Quality compounder</t>
  </si>
  <si>
    <t xml:space="preserve">Sector and business model</t>
  </si>
  <si>
    <t xml:space="preserve">Business description</t>
  </si>
  <si>
    <t xml:space="preserve">inpSector</t>
  </si>
  <si>
    <t xml:space="preserve">Current Share Price</t>
  </si>
  <si>
    <t xml:space="preserve">$/share</t>
  </si>
  <si>
    <t xml:space="preserve">Latest market price</t>
  </si>
  <si>
    <t xml:space="preserve">Quote source with date</t>
  </si>
  <si>
    <t xml:space="preserve">inpCurrentPrice</t>
  </si>
  <si>
    <t xml:space="preserve">Shares Outstanding</t>
  </si>
  <si>
    <t xml:space="preserve">mm shares</t>
  </si>
  <si>
    <t xml:space="preserve">Diluted or basic; stay consistent</t>
  </si>
  <si>
    <t xml:space="preserve">Balance sheet / 10-K</t>
  </si>
  <si>
    <t xml:space="preserve">inpSharesOut</t>
  </si>
  <si>
    <t xml:space="preserve">Business Moat Notes</t>
  </si>
  <si>
    <t xml:space="preserve">Brand + switching cost</t>
  </si>
  <si>
    <t xml:space="preserve">No</t>
  </si>
  <si>
    <t xml:space="preserve">Moat explanation</t>
  </si>
  <si>
    <t xml:space="preserve">Analyst research</t>
  </si>
  <si>
    <t xml:space="preserve">User notes</t>
  </si>
  <si>
    <t xml:space="preserve">inpMoatNotes</t>
  </si>
  <si>
    <t xml:space="preserve">Analyst Notes</t>
  </si>
  <si>
    <t xml:space="preserve">Replace demo values before publishing</t>
  </si>
  <si>
    <t xml:space="preserve">Caveats and adjustments made</t>
  </si>
  <si>
    <t xml:space="preserve">User judgment</t>
  </si>
  <si>
    <t xml:space="preserve">Research notes</t>
  </si>
  <si>
    <t xml:space="preserve">inpAnalystNotes</t>
  </si>
  <si>
    <t xml:space="preserve">Reported P/E (cross-check)</t>
  </si>
  <si>
    <t xml:space="preserve">x</t>
  </si>
  <si>
    <t xml:space="preserve">Optional. If the data provider quotes a P/E, paste it and the model flags a mismatch against price divided by current-FY EPS, which usually means one figure is TTM and the other fiscal-year</t>
  </si>
  <si>
    <t xml:space="preserve">Quote source</t>
  </si>
  <si>
    <t xml:space="preserve">inpReportedPE</t>
  </si>
  <si>
    <t xml:space="preserve">Price As Of</t>
  </si>
  <si>
    <t xml:space="preserve">Date</t>
  </si>
  <si>
    <t xml:space="preserve">Date and time the price was taken</t>
  </si>
  <si>
    <t xml:space="preserve">inpPriceDate</t>
  </si>
  <si>
    <t xml:space="preserve">Table: tblHistoricalFinancials (five fiscal years, oldest on the left)</t>
  </si>
  <si>
    <t xml:space="preserve">Metric</t>
  </si>
  <si>
    <t xml:space="preserve">FY-4</t>
  </si>
  <si>
    <t xml:space="preserve">FY-3</t>
  </si>
  <si>
    <t xml:space="preserve">FY-2</t>
  </si>
  <si>
    <t xml:space="preserve">FY-1</t>
  </si>
  <si>
    <t xml:space="preserve">Current FY</t>
  </si>
  <si>
    <t xml:space="preserve">Units</t>
  </si>
  <si>
    <t xml:space="preserve">Source / Note</t>
  </si>
  <si>
    <t xml:space="preserve">Revenue</t>
  </si>
  <si>
    <t xml:space="preserve">$mm</t>
  </si>
  <si>
    <t xml:space="preserve">Income statement</t>
  </si>
  <si>
    <t xml:space="preserve">EPS</t>
  </si>
  <si>
    <t xml:space="preserve">Diluted EPS</t>
  </si>
  <si>
    <t xml:space="preserve">Net Income</t>
  </si>
  <si>
    <t xml:space="preserve">Free Cash Flow (as reported)</t>
  </si>
  <si>
    <t xml:space="preserve">Operating cash flow less total capex</t>
  </si>
  <si>
    <t xml:space="preserve">Depreciation &amp; Amortization</t>
  </si>
  <si>
    <t xml:space="preserve">Cash flow statement</t>
  </si>
  <si>
    <t xml:space="preserve">Capital Expenditures</t>
  </si>
  <si>
    <t xml:space="preserve">Maintenance Capex Estimate</t>
  </si>
  <si>
    <t xml:space="preserve">Usually near D&amp;A for stable firms; edit for heavy investors</t>
  </si>
  <si>
    <t xml:space="preserve">Total Debt</t>
  </si>
  <si>
    <t xml:space="preserve">Balance sheet</t>
  </si>
  <si>
    <t xml:space="preserve">Cash &amp; Equivalents</t>
  </si>
  <si>
    <t xml:space="preserve">Shareholders' Equity</t>
  </si>
  <si>
    <t xml:space="preserve">Dividend / Share</t>
  </si>
  <si>
    <t xml:space="preserve">Dividend history</t>
  </si>
  <si>
    <t xml:space="preserve">Operating Cash Flow</t>
  </si>
  <si>
    <t xml:space="preserve">Required for the owner-earnings cash base; falls back to net income + D&amp;A if blank</t>
  </si>
  <si>
    <t xml:space="preserve">Table: tblModelAssumptions (valuation assumptions, methods and thresholds)</t>
  </si>
  <si>
    <t xml:space="preserve">Assumption</t>
  </si>
  <si>
    <t xml:space="preserve">Purpose / Formula Link</t>
  </si>
  <si>
    <t xml:space="preserve">Discount Rate</t>
  </si>
  <si>
    <t xml:space="preserve">%</t>
  </si>
  <si>
    <t xml:space="preserve">DCF present value</t>
  </si>
  <si>
    <t xml:space="preserve">inpDiscountRate</t>
  </si>
  <si>
    <t xml:space="preserve">Terminal Growth</t>
  </si>
  <si>
    <t xml:space="preserve">Gordon growth terminal value; must stay below the discount rate</t>
  </si>
  <si>
    <t xml:space="preserve">inpTerminalGrowth</t>
  </si>
  <si>
    <t xml:space="preserve">Projection Years</t>
  </si>
  <si>
    <t xml:space="preserve">Years</t>
  </si>
  <si>
    <t xml:space="preserve">Explicit forecast horizon</t>
  </si>
  <si>
    <t xml:space="preserve">inpProjectionYears</t>
  </si>
  <si>
    <t xml:space="preserve">Exit P/E Method</t>
  </si>
  <si>
    <t xml:space="preserve">GrowthImplied</t>
  </si>
  <si>
    <t xml:space="preserve">Manual | GrowthImplied</t>
  </si>
  <si>
    <t xml:space="preserve">GrowthImplied ties the exit multiple to the growth you forecast, so a compounder is not valued on a mature company's multiple</t>
  </si>
  <si>
    <t xml:space="preserve">inpExitPEMethod</t>
  </si>
  <si>
    <t xml:space="preserve">Target Exit P/E (manual)</t>
  </si>
  <si>
    <t xml:space="preserve">Used only when the method is Manual</t>
  </si>
  <si>
    <t xml:space="preserve">inpTargetPE</t>
  </si>
  <si>
    <t xml:space="preserve">Exit P/E PEG Anchor</t>
  </si>
  <si>
    <t xml:space="preserve">GrowthImplied exit P/E = anchor x forecast EPS growth %</t>
  </si>
  <si>
    <t xml:space="preserve">inpPegAnchor</t>
  </si>
  <si>
    <t xml:space="preserve">Exit P/E Cap</t>
  </si>
  <si>
    <t xml:space="preserve">Upper bound on the implied multiple</t>
  </si>
  <si>
    <t xml:space="preserve">inpExitPECap</t>
  </si>
  <si>
    <t xml:space="preserve">Exit P/E Floor</t>
  </si>
  <si>
    <t xml:space="preserve">Lower bound on the implied multiple</t>
  </si>
  <si>
    <t xml:space="preserve">inpExitPEFloor</t>
  </si>
  <si>
    <t xml:space="preserve">FCF Base Method</t>
  </si>
  <si>
    <t xml:space="preserve">OwnerEarnings</t>
  </si>
  <si>
    <t xml:space="preserve">Reported | Average3 | OwnerEarnings</t>
  </si>
  <si>
    <t xml:space="preserve">The cash figure the DCF compounds. Reported uses the current year alone, which a single heavy-capex year can distort beyond recognition</t>
  </si>
  <si>
    <t xml:space="preserve">inpFCFBaseMethod</t>
  </si>
  <si>
    <t xml:space="preserve">Margin of Safety Required</t>
  </si>
  <si>
    <t xml:space="preserve">Buffett/Graham entry cushion</t>
  </si>
  <si>
    <t xml:space="preserve">inpMarginSafety</t>
  </si>
  <si>
    <t xml:space="preserve">Lynch PEG Buy Threshold</t>
  </si>
  <si>
    <t xml:space="preserve">GARP undervaluation signal</t>
  </si>
  <si>
    <t xml:space="preserve">inpPegBuy</t>
  </si>
  <si>
    <t xml:space="preserve">Lynch PEG Sell Threshold</t>
  </si>
  <si>
    <t xml:space="preserve">Potentially expensive signal</t>
  </si>
  <si>
    <t xml:space="preserve">inpPegSell</t>
  </si>
  <si>
    <t xml:space="preserve">Forecast Revenue Growth</t>
  </si>
  <si>
    <t xml:space="preserve">Drives the revenue projection</t>
  </si>
  <si>
    <t xml:space="preserve">inpRevGrowth</t>
  </si>
  <si>
    <t xml:space="preserve">Forecast EPS Growth</t>
  </si>
  <si>
    <t xml:space="preserve">Drives the EPS projection and the implied exit multiple</t>
  </si>
  <si>
    <t xml:space="preserve">inpEPSGrowth</t>
  </si>
  <si>
    <t xml:space="preserve">Forecast FCF Growth</t>
  </si>
  <si>
    <t xml:space="preserve">Drives the owner cash flow projection</t>
  </si>
  <si>
    <t xml:space="preserve">inpFCFGrowth</t>
  </si>
  <si>
    <t xml:space="preserve">Quality Score Weight</t>
  </si>
  <si>
    <t xml:space="preserve">Overall score weighting</t>
  </si>
  <si>
    <t xml:space="preserve">inpQualityWeight</t>
  </si>
  <si>
    <t xml:space="preserve">Valuation Score Weight</t>
  </si>
  <si>
    <t xml:space="preserve">inpValuationWeight</t>
  </si>
  <si>
    <t xml:space="preserve">Financial Strength Weight</t>
  </si>
  <si>
    <t xml:space="preserve">inpStrengthWeight</t>
  </si>
  <si>
    <t xml:space="preserve">Assumption Tolerance vs History</t>
  </si>
  <si>
    <t xml:space="preserve">How far a forecast growth rate may sit from the matching historical CAGR before it is flagged, in percentage points, in either direction. Catches a default left untouched</t>
  </si>
  <si>
    <t xml:space="preserve">inpTolerance</t>
  </si>
  <si>
    <t xml:space="preserve">Table: tblQualitativeChecklist (judgment, scored 0 to 5)</t>
  </si>
  <si>
    <t xml:space="preserve">Criteria</t>
  </si>
  <si>
    <t xml:space="preserve">User Score (0-5)</t>
  </si>
  <si>
    <t xml:space="preserve">Guidance</t>
  </si>
  <si>
    <t xml:space="preserve">Evidence / Notes</t>
  </si>
  <si>
    <t xml:space="preserve">Durable competitive advantage / moat</t>
  </si>
  <si>
    <t xml:space="preserve">Brand, network effect, switching cost, cost advantage</t>
  </si>
  <si>
    <t xml:space="preserve">Add source evidence</t>
  </si>
  <si>
    <t xml:space="preserve">inpMoatScore</t>
  </si>
  <si>
    <t xml:space="preserve">Management quality / capital allocation</t>
  </si>
  <si>
    <t xml:space="preserve">ROIC discipline, buybacks, debt control</t>
  </si>
  <si>
    <t xml:space="preserve">inpMgmtScore</t>
  </si>
  <si>
    <t xml:space="preserve">Business simplicity / circle of competence</t>
  </si>
  <si>
    <t xml:space="preserve">Can you explain how it makes money?</t>
  </si>
  <si>
    <t xml:space="preserve">inpSimplicityScore</t>
  </si>
  <si>
    <t xml:space="preserve">Earnings consistency</t>
  </si>
  <si>
    <t xml:space="preserve">Low cyclicality, few one-off gains or losses</t>
  </si>
  <si>
    <t xml:space="preserve">inpConsistencyScore</t>
  </si>
  <si>
    <t xml:space="preserve">Reinvestment runway</t>
  </si>
  <si>
    <t xml:space="preserve">Can capital be reinvested at attractive rates?</t>
  </si>
  <si>
    <t xml:space="preserve">inpRunwayScore</t>
  </si>
  <si>
    <t xml:space="preserve">Table: tblReferenceSources (method and data-source citations)</t>
  </si>
  <si>
    <t xml:space="preserve">Source Name</t>
  </si>
  <si>
    <t xml:space="preserve">Source URL</t>
  </si>
  <si>
    <t xml:space="preserve">What to Use It For</t>
  </si>
  <si>
    <t xml:space="preserve">Type</t>
  </si>
  <si>
    <t xml:space="preserve">Date Accessed</t>
  </si>
  <si>
    <t xml:space="preserve">Notes</t>
  </si>
  <si>
    <t xml:space="preserve">Berkshire Hathaway shareholder letters</t>
  </si>
  <si>
    <t xml:space="preserve">https://www.berkshirehathaway.com/letters/letters.html</t>
  </si>
  <si>
    <t xml:space="preserve">Owner earnings, margin of safety, business quality</t>
  </si>
  <si>
    <t xml:space="preserve">Method reference</t>
  </si>
  <si>
    <t xml:space="preserve">Record the exact year used</t>
  </si>
  <si>
    <t xml:space="preserve">Company 10-K / Annual Report</t>
  </si>
  <si>
    <t xml:space="preserve">Revenue, EPS, cash flow, debt, share count</t>
  </si>
  <si>
    <t xml:space="preserve">Primary data</t>
  </si>
  <si>
    <t xml:space="preserve">Paste the filing URL</t>
  </si>
  <si>
    <t xml:space="preserve">Market data provider</t>
  </si>
  <si>
    <t xml:space="preserve">Current price, share count, quoted P/E</t>
  </si>
  <si>
    <t xml:space="preserve">Paste the quote URL with date and time</t>
  </si>
  <si>
    <t xml:space="preserve">Peter Lynch / GARP notes</t>
  </si>
  <si>
    <t xml:space="preserve">PEG and growth-at-a-reasonable-price review</t>
  </si>
  <si>
    <t xml:space="preserve">Record the source used</t>
  </si>
  <si>
    <t xml:space="preserve">Derived Values: metrics, scoring engine and valuation</t>
  </si>
  <si>
    <t xml:space="preserve">Every component score is shown on its own row so the arithmetic can be checked. A blank metric scores zero and raises a flag; it is never averaged away.</t>
  </si>
  <si>
    <t xml:space="preserve">Table: tblCoreMetrics</t>
  </si>
  <si>
    <t xml:space="preserve">Table: tblScoreModules</t>
  </si>
  <si>
    <t xml:space="preserve">Formula Output</t>
  </si>
  <si>
    <t xml:space="preserve">Interpretation</t>
  </si>
  <si>
    <t xml:space="preserve">Module</t>
  </si>
  <si>
    <t xml:space="preserve">Score</t>
  </si>
  <si>
    <t xml:space="preserve">Logic</t>
  </si>
  <si>
    <t xml:space="preserve">Revenue CAGR</t>
  </si>
  <si>
    <t xml:space="preserve">Four-year compound growth</t>
  </si>
  <si>
    <t xml:space="preserve">Growth quality</t>
  </si>
  <si>
    <t xml:space="preserve">Revenue, EPS and FCF growth, each scored on its own curve</t>
  </si>
  <si>
    <t xml:space="preserve">EPS CAGR</t>
  </si>
  <si>
    <t xml:space="preserve">Feeds PEG and the growth score</t>
  </si>
  <si>
    <t xml:space="preserve">Profitability quality</t>
  </si>
  <si>
    <t xml:space="preserve">ROE and normalised FCF margin</t>
  </si>
  <si>
    <t xml:space="preserve">FCF CAGR</t>
  </si>
  <si>
    <t xml:space="preserve">Undefined when the base year is negative; flagged rather than hidden</t>
  </si>
  <si>
    <t xml:space="preserve">Leverage and years of owner earnings to clear net debt</t>
  </si>
  <si>
    <t xml:space="preserve">Current P/E</t>
  </si>
  <si>
    <t xml:space="preserve">Price per dollar of current-FY earnings</t>
  </si>
  <si>
    <t xml:space="preserve">Lynch valuation</t>
  </si>
  <si>
    <t xml:space="preserve">PEG against the buy and sell thresholds</t>
  </si>
  <si>
    <t xml:space="preserve">PEG Ratio</t>
  </si>
  <si>
    <t xml:space="preserve">P/E divided by EPS growth; undefined without positive growth</t>
  </si>
  <si>
    <t xml:space="preserve">Buffett valuation</t>
  </si>
  <si>
    <t xml:space="preserve">Upside to fair value against the margin of safety required</t>
  </si>
  <si>
    <t xml:space="preserve">FCF Margin (normalised base)</t>
  </si>
  <si>
    <t xml:space="preserve">Cash conversion on the base the DCF actually uses</t>
  </si>
  <si>
    <t xml:space="preserve">Qualitative</t>
  </si>
  <si>
    <t xml:space="preserve">Judgment checklist</t>
  </si>
  <si>
    <t xml:space="preserve">FCF Margin (as reported)</t>
  </si>
  <si>
    <t xml:space="preserve">Unadjusted, for comparison against the normalised figure</t>
  </si>
  <si>
    <t xml:space="preserve">Overall score</t>
  </si>
  <si>
    <t xml:space="preserve">Weighted composite</t>
  </si>
  <si>
    <t xml:space="preserve">ROE</t>
  </si>
  <si>
    <t xml:space="preserve">Buffett-style business quality proxy</t>
  </si>
  <si>
    <t xml:space="preserve">Debt / Equity</t>
  </si>
  <si>
    <t xml:space="preserve">Balance-sheet leverage</t>
  </si>
  <si>
    <t xml:space="preserve">Net Cash / (Debt)</t>
  </si>
  <si>
    <t xml:space="preserve">Balance-sheet flexibility</t>
  </si>
  <si>
    <t xml:space="preserve">Owner Earnings</t>
  </si>
  <si>
    <t xml:space="preserve">Net income + D&amp;A - maintenance capex</t>
  </si>
  <si>
    <t xml:space="preserve">Owner Earnings / Share</t>
  </si>
  <si>
    <t xml:space="preserve">Owner earnings per share</t>
  </si>
  <si>
    <t xml:space="preserve">Net Debt / Owner Earnings</t>
  </si>
  <si>
    <t xml:space="preserve">Years of owner earnings to clear net debt</t>
  </si>
  <si>
    <t xml:space="preserve">Normalised FCF Base</t>
  </si>
  <si>
    <t xml:space="preserve">The cash figure the DCF compounds; set by FCF Base Method</t>
  </si>
  <si>
    <t xml:space="preserve">Resolved Exit P/E</t>
  </si>
  <si>
    <t xml:space="preserve">Set by Exit P/E Method; growth-implied unless overridden</t>
  </si>
  <si>
    <t xml:space="preserve">Table: tblScoreDetail (every component score, with the number behind it)</t>
  </si>
  <si>
    <t xml:space="preserve">Component</t>
  </si>
  <si>
    <t xml:space="preserve">Basis</t>
  </si>
  <si>
    <t xml:space="preserve">Revenue growth</t>
  </si>
  <si>
    <t xml:space="preserve">0% scores 0, 20%+ scores 100; non-numeric scores 0</t>
  </si>
  <si>
    <t xml:space="preserve">EPS growth</t>
  </si>
  <si>
    <t xml:space="preserve">Same curve as revenue</t>
  </si>
  <si>
    <t xml:space="preserve">FCF growth</t>
  </si>
  <si>
    <t xml:space="preserve">Same curve; an undefined CAGR scores 0, not blank</t>
  </si>
  <si>
    <t xml:space="preserve">Return on equity</t>
  </si>
  <si>
    <t xml:space="preserve">20% ROE scores 100</t>
  </si>
  <si>
    <t xml:space="preserve">FCF margin</t>
  </si>
  <si>
    <t xml:space="preserve">15% normalised margin scores 100</t>
  </si>
  <si>
    <t xml:space="preserve">Leverage (debt / equity)</t>
  </si>
  <si>
    <t xml:space="preserve">D/E of 0 scores 100, 2.0x scores 0</t>
  </si>
  <si>
    <t xml:space="preserve">Net debt cover</t>
  </si>
  <si>
    <t xml:space="preserve">Net cash scores 100, 4x owner earnings scores 0</t>
  </si>
  <si>
    <t xml:space="preserve">Lynch PEG</t>
  </si>
  <si>
    <t xml:space="preserve">100 at or below the buy threshold, 20 at or above the sell threshold</t>
  </si>
  <si>
    <t xml:space="preserve">Margin of safety</t>
  </si>
  <si>
    <t xml:space="preserve">50 when upside equals the margin of safety required, 100 fifty points above it, 0 fifty below (v1 read the dollar fair value into this cell, which pinned it at 100 for every company)</t>
  </si>
  <si>
    <t xml:space="preserve">Table: tblDataQuality (what the model does not trust about its own inputs)</t>
  </si>
  <si>
    <t xml:space="preserve">Check</t>
  </si>
  <si>
    <t xml:space="preserve">Status</t>
  </si>
  <si>
    <t xml:space="preserve">Severity</t>
  </si>
  <si>
    <t xml:space="preserve">Detail</t>
  </si>
  <si>
    <t xml:space="preserve">Revenue CAGR computable</t>
  </si>
  <si>
    <t xml:space="preserve">Warning</t>
  </si>
  <si>
    <t xml:space="preserve">EPS CAGR computable</t>
  </si>
  <si>
    <t xml:space="preserve">FCF CAGR computable</t>
  </si>
  <si>
    <t xml:space="preserve">Terminal growth below discount rate</t>
  </si>
  <si>
    <t xml:space="preserve">Blocking</t>
  </si>
  <si>
    <t xml:space="preserve">Score weights sum to 100%</t>
  </si>
  <si>
    <t xml:space="preserve">Price and share count present</t>
  </si>
  <si>
    <t xml:space="preserve">Normalised FCF base positive</t>
  </si>
  <si>
    <t xml:space="preserve">Forecast EPS growth consistent with history</t>
  </si>
  <si>
    <t xml:space="preserve">Forecast revenue growth consistent with history</t>
  </si>
  <si>
    <t xml:space="preserve">Quoted P/E agrees with price / EPS</t>
  </si>
  <si>
    <t xml:space="preserve">Reported cash flow is stable</t>
  </si>
  <si>
    <t xml:space="preserve">Blocking flags</t>
  </si>
  <si>
    <t xml:space="preserve">A blocking flag forces the decision to REVIEW</t>
  </si>
  <si>
    <t xml:space="preserve">Warnings</t>
  </si>
  <si>
    <t xml:space="preserve">Warnings reduce the data-quality score but do not block a call</t>
  </si>
  <si>
    <t xml:space="preserve">Data Quality Score</t>
  </si>
  <si>
    <t xml:space="preserve">A BUY also requires this to be 60 or better</t>
  </si>
  <si>
    <t xml:space="preserve">Table: tblForecastProjection (five-year forecast)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</si>
  <si>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</si>
  <si>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</si>
  <si>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</si>
  <si>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</si>
  <si>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</si>
  <si>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Source / Driver</t>
  </si>
  <si>
    <t xml:space="preserve">Free Cash Flow</t>
  </si>
  <si>
    <t xml:space="preserve">Normalised cash base x Forecast FCF Growth</t>
  </si>
  <si>
    <t xml:space="preserve">FCF / Share</t>
  </si>
  <si>
    <t xml:space="preserve">Shares outstanding</t>
  </si>
  <si>
    <t xml:space="preserve">Table: tblIntrinsicValue (valuation and decision)</t>
  </si>
  <si>
    <t xml:space="preserve">Value</t>
  </si>
  <si>
    <t xml:space="preserve">Formula / Explanation</t>
  </si>
  <si>
    <t xml:space="preserve">DCF PV of Explicit FCF / Share</t>
  </si>
  <si>
    <t xml:space="preserve">Five years of projected owner cash flow per share, discounted</t>
  </si>
  <si>
    <t xml:space="preserve">Terminal Value / Share</t>
  </si>
  <si>
    <t xml:space="preserve">Gordon growth terminal value</t>
  </si>
  <si>
    <t xml:space="preserve">PV of Terminal Value / Share</t>
  </si>
  <si>
    <t xml:space="preserve">Terminal value discounted back</t>
  </si>
  <si>
    <t xml:space="preserve">DCF Fair Value / Share</t>
  </si>
  <si>
    <t xml:space="preserve">Buffett-style intrinsic value proxy</t>
  </si>
  <si>
    <t xml:space="preserve">Earnings Multiple Fair Value</t>
  </si>
  <si>
    <t xml:space="preserve">Year-5 EPS x resolved exit P/E, discounted back</t>
  </si>
  <si>
    <t xml:space="preserve">Blended Fair Value</t>
  </si>
  <si>
    <t xml:space="preserve">Average of the two approaches; withheld while a blocking flag stands</t>
  </si>
  <si>
    <t xml:space="preserve">Upside / Downside</t>
  </si>
  <si>
    <t xml:space="preserve">Fair value against the current price</t>
  </si>
  <si>
    <t xml:space="preserve">Buy Below Price</t>
  </si>
  <si>
    <t xml:space="preserve">Margin-of-safety entry price</t>
  </si>
  <si>
    <t xml:space="preserve">Decision Trigger</t>
  </si>
  <si>
    <t xml:space="preserve">Decision</t>
  </si>
  <si>
    <t xml:space="preserve">REVIEW whenever a blocking flag is raised, the model will not issue a call on inputs it distrusts</t>
  </si>
  <si>
    <t xml:space="preserve">Output Decision, publishable summary</t>
  </si>
  <si>
    <t xml:space="preserve">Bound to the deck. Every figure here is a link, so the deck refreshes when the inputs change.</t>
  </si>
  <si>
    <t xml:space="preserve">Table: tblDecisionSummary</t>
  </si>
  <si>
    <t xml:space="preserve">Output Label</t>
  </si>
  <si>
    <t xml:space="preserve">Result</t>
  </si>
  <si>
    <t xml:space="preserve">Linked From</t>
  </si>
  <si>
    <t xml:space="preserve">Company</t>
  </si>
  <si>
    <t xml:space="preserve">01_Input_Template</t>
  </si>
  <si>
    <t xml:space="preserve">Company name</t>
  </si>
  <si>
    <t xml:space="preserve">Current Price</t>
  </si>
  <si>
    <t xml:space="preserve">Latest price input</t>
  </si>
  <si>
    <t xml:space="preserve">02_Derived_Values</t>
  </si>
  <si>
    <t xml:space="preserve">Intrinsic value estimate</t>
  </si>
  <si>
    <t xml:space="preserve">Return potential to fair value</t>
  </si>
  <si>
    <t xml:space="preserve">Overall Score</t>
  </si>
  <si>
    <t xml:space="preserve">Weighted composite, 0-100</t>
  </si>
  <si>
    <t xml:space="preserve">BUY / HOLD / SELL / REVIEW</t>
  </si>
  <si>
    <t xml:space="preserve">GARP valuation check</t>
  </si>
  <si>
    <t xml:space="preserve">Buffett Owner Earnings / Share</t>
  </si>
  <si>
    <t xml:space="preserve">0-100; below 60 blocks a BUY</t>
  </si>
  <si>
    <t xml:space="preserve">Table: tblScoreDashboard</t>
  </si>
  <si>
    <t xml:space="preserve">Table: tblValuationBridge (how the fair value is built)</t>
  </si>
  <si>
    <t xml:space="preserve">Step</t>
  </si>
  <si>
    <t xml:space="preserve">$ / share</t>
  </si>
  <si>
    <t xml:space="preserve">Note</t>
  </si>
  <si>
    <t xml:space="preserve">Current price</t>
  </si>
  <si>
    <t xml:space="preserve">What the market asks today</t>
  </si>
  <si>
    <t xml:space="preserve">DCF fair value</t>
  </si>
  <si>
    <t xml:space="preserve">Owner cash flow discounted, including terminal value</t>
  </si>
  <si>
    <t xml:space="preserve">Earnings multiple fair value</t>
  </si>
  <si>
    <t xml:space="preserve">Year-5 EPS on the resolved exit multiple, discounted</t>
  </si>
  <si>
    <t xml:space="preserve">Blended fair value</t>
  </si>
  <si>
    <t xml:space="preserve">The average of the two</t>
  </si>
  <si>
    <t xml:space="preserve">Buy below</t>
  </si>
  <si>
    <t xml:space="preserve">After the margin of safety required</t>
  </si>
  <si>
    <t xml:space="preserve">Table: tblAssumptionReview (every assumption against what history actually did)</t>
  </si>
  <si>
    <t xml:space="preserve">Used</t>
  </si>
  <si>
    <t xml:space="preserve">History</t>
  </si>
  <si>
    <t xml:space="preserve">Exit P/E applied</t>
  </si>
  <si>
    <t xml:space="preserve">Cash base used</t>
  </si>
  <si>
    <t xml:space="preserve">Table: tblDataQualityFlags (what to say before anyone asks)</t>
  </si>
  <si>
    <t xml:space="preserve">Table: tblFuturePrediction</t>
  </si>
  <si>
    <t xml:space="preserve">Prediction Item</t>
  </si>
  <si>
    <t xml:space="preserve">Output</t>
  </si>
  <si>
    <t xml:space="preserve">Driver / Link</t>
  </si>
  <si>
    <t xml:space="preserve">Projected Year-5 Revenue</t>
  </si>
  <si>
    <t xml:space="preserve">Projection</t>
  </si>
  <si>
    <t xml:space="preserve">Future company scale</t>
  </si>
  <si>
    <t xml:space="preserve">Projected Year-5 EPS</t>
  </si>
  <si>
    <t xml:space="preserve">Future earnings power</t>
  </si>
  <si>
    <t xml:space="preserve">Projected Year-5 FCF</t>
  </si>
  <si>
    <t xml:space="preserve">Future cash generation</t>
  </si>
  <si>
    <t xml:space="preserve">Projected Year-5 FCF / Share</t>
  </si>
  <si>
    <t xml:space="preserve">Future owner cash flow</t>
  </si>
  <si>
    <t xml:space="preserve">Prediction Narrative</t>
  </si>
  <si>
    <t xml:space="preserve">Rules-based synthesis</t>
  </si>
  <si>
    <t xml:space="preserve">Plain-English summary</t>
  </si>
  <si>
    <t xml:space="preserve">Notes and limitations</t>
  </si>
  <si>
    <t xml:space="preserve">Educational template, not financial advice. The decision is a rules-based output of the assumptions on the input sheet, not a view on the company. Check the data-quality flags above before showing this to anyone.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</si>
</sst>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0"/>
    <numFmt numFmtId="166" formatCode="#,##0"/>
    <numFmt numFmtId="167" formatCode="0.00\x"/>
    <numFmt numFmtId="168" formatCode="yyyy\-mm\-dd"/>
    <numFmt numFmtId="169" formatCode="0.0%"/>
    <numFmt numFmtId="170" formatCode="0"/>
    <numFmt numFmtId="171" formatCode="0.00%"/>
    <numFmt numFmtId="172" formatCode="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B2733"/>
      <name val="Calibri"/>
      <family val="0"/>
      <charset val="1"/>
    </font>
    <font>
      <i val="true"/>
      <sz val="10"/>
      <color rgb="FF5C6B7A"/>
      <name val="Calibri"/>
      <family val="0"/>
      <charset val="1"/>
    </font>
    <font>
      <b val="true"/>
      <sz val="11"/>
      <color rgb="FF1F6F5C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1B2733"/>
      <name val="Calibri"/>
      <family val="0"/>
      <charset val="1"/>
    </font>
    <font>
      <b val="true"/>
      <sz val="10"/>
      <color rgb="FF1B2733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6F5C"/>
        <bgColor rgb="FF008080"/>
      </patternFill>
    </fill>
    <fill>
      <patternFill patternType="solid">
        <fgColor rgb="FFFFF6E5"/>
        <bgColor rgb="FFF5F7F9"/>
      </patternFill>
    </fill>
    <fill>
      <patternFill patternType="solid">
        <fgColor rgb="FFF5F7F9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EE3"/>
      </left>
      <right style="thin">
        <color rgb="FFD8DEE3"/>
      </right>
      <top style="thin">
        <color rgb="FFD8DEE3"/>
      </top>
      <bottom style="thin">
        <color rgb="FFD8DE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5C"/>
      <rgbColor rgb="FFC0C0C0"/>
      <rgbColor rgb="FF808080"/>
      <rgbColor rgb="FF9999FF"/>
      <rgbColor rgb="FF993366"/>
      <rgbColor rgb="FFFFF6E5"/>
      <rgbColor rgb="FFF5F7F9"/>
      <rgbColor rgb="FF660066"/>
      <rgbColor rgb="FFFF8080"/>
      <rgbColor rgb="FF0066CC"/>
      <rgbColor rgb="FFD8DE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B7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27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7"/>
    <col collapsed="false" customWidth="true" hidden="false" outlineLevel="0" max="3" min="3" style="0" width="13"/>
    <col collapsed="false" customWidth="true" hidden="false" outlineLevel="0" max="4" min="4" style="0" width="12"/>
    <col collapsed="false" customWidth="true" hidden="false" outlineLevel="0" max="5" min="5" style="0" width="46"/>
    <col collapsed="false" customWidth="true" hidden="false" outlineLevel="0" max="6" min="6" style="0" width="16"/>
    <col collapsed="false" customWidth="true" hidden="false" outlineLevel="0" max="7" min="7" style="0" width="26"/>
    <col collapsed="false" customWidth="true" hidden="false" outlineLevel="0" max="8" min="8" style="0" width="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25.5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customFormat="false" ht="15" hidden="false" customHeight="false" outlineLevel="0" collapsed="false">
      <c r="A6" s="5" t="s">
        <v>11</v>
      </c>
      <c r="B6" s="6" t="s">
        <v>12</v>
      </c>
      <c r="C6" s="5" t="s">
        <v>13</v>
      </c>
      <c r="D6" s="5" t="s">
        <v>14</v>
      </c>
      <c r="E6" s="7" t="s">
        <v>15</v>
      </c>
      <c r="F6" s="5" t="s">
        <v>16</v>
      </c>
      <c r="G6" s="5" t="s">
        <v>17</v>
      </c>
      <c r="H6" s="5" t="s">
        <v>18</v>
      </c>
    </row>
    <row r="7" customFormat="false" ht="15" hidden="false" customHeight="false" outlineLevel="0" collapsed="false">
      <c r="A7" s="5" t="s">
        <v>19</v>
      </c>
      <c r="B7" s="6" t="s">
        <v>20</v>
      </c>
      <c r="C7" s="5" t="s">
        <v>13</v>
      </c>
      <c r="D7" s="5" t="s">
        <v>14</v>
      </c>
      <c r="E7" s="7" t="s">
        <v>21</v>
      </c>
      <c r="F7" s="5" t="s">
        <v>22</v>
      </c>
      <c r="G7" s="5" t="s">
        <v>23</v>
      </c>
      <c r="H7" s="5" t="s">
        <v>24</v>
      </c>
    </row>
    <row r="8" customFormat="false" ht="15" hidden="false" customHeight="false" outlineLevel="0" collapsed="false">
      <c r="A8" s="5" t="s">
        <v>25</v>
      </c>
      <c r="B8" s="6" t="s">
        <v>26</v>
      </c>
      <c r="C8" s="5" t="s">
        <v>13</v>
      </c>
      <c r="D8" s="5" t="s">
        <v>14</v>
      </c>
      <c r="E8" s="7" t="s">
        <v>27</v>
      </c>
      <c r="F8" s="5" t="s">
        <v>22</v>
      </c>
      <c r="G8" s="5" t="s">
        <v>28</v>
      </c>
      <c r="H8" s="5" t="s">
        <v>29</v>
      </c>
    </row>
    <row r="9" customFormat="false" ht="15" hidden="false" customHeight="false" outlineLevel="0" collapsed="false">
      <c r="A9" s="5" t="s">
        <v>30</v>
      </c>
      <c r="B9" s="6" t="s">
        <v>31</v>
      </c>
      <c r="C9" s="5" t="s">
        <v>13</v>
      </c>
      <c r="D9" s="5" t="s">
        <v>14</v>
      </c>
      <c r="E9" s="7" t="s">
        <v>32</v>
      </c>
      <c r="F9" s="5" t="s">
        <v>22</v>
      </c>
      <c r="G9" s="5" t="s">
        <v>33</v>
      </c>
      <c r="H9" s="5" t="s">
        <v>34</v>
      </c>
    </row>
    <row r="10" customFormat="false" ht="15" hidden="false" customHeight="false" outlineLevel="0" collapsed="false">
      <c r="A10" s="5" t="s">
        <v>35</v>
      </c>
      <c r="B10" s="8" t="n">
        <v>100</v>
      </c>
      <c r="C10" s="5" t="s">
        <v>36</v>
      </c>
      <c r="D10" s="5" t="s">
        <v>14</v>
      </c>
      <c r="E10" s="7" t="s">
        <v>37</v>
      </c>
      <c r="F10" s="5" t="s">
        <v>16</v>
      </c>
      <c r="G10" s="5" t="s">
        <v>38</v>
      </c>
      <c r="H10" s="5" t="s">
        <v>39</v>
      </c>
    </row>
    <row r="11" customFormat="false" ht="15" hidden="false" customHeight="false" outlineLevel="0" collapsed="false">
      <c r="A11" s="5" t="s">
        <v>40</v>
      </c>
      <c r="B11" s="9" t="n">
        <v>1000</v>
      </c>
      <c r="C11" s="5" t="s">
        <v>41</v>
      </c>
      <c r="D11" s="5" t="s">
        <v>14</v>
      </c>
      <c r="E11" s="7" t="s">
        <v>42</v>
      </c>
      <c r="F11" s="5" t="s">
        <v>22</v>
      </c>
      <c r="G11" s="5" t="s">
        <v>43</v>
      </c>
      <c r="H11" s="5" t="s">
        <v>44</v>
      </c>
    </row>
    <row r="12" customFormat="false" ht="15" hidden="false" customHeight="false" outlineLevel="0" collapsed="false">
      <c r="A12" s="5" t="s">
        <v>45</v>
      </c>
      <c r="B12" s="6" t="s">
        <v>46</v>
      </c>
      <c r="C12" s="5" t="s">
        <v>13</v>
      </c>
      <c r="D12" s="5" t="s">
        <v>47</v>
      </c>
      <c r="E12" s="7" t="s">
        <v>48</v>
      </c>
      <c r="F12" s="5" t="s">
        <v>49</v>
      </c>
      <c r="G12" s="5" t="s">
        <v>50</v>
      </c>
      <c r="H12" s="5" t="s">
        <v>51</v>
      </c>
    </row>
    <row r="13" customFormat="false" ht="15" hidden="false" customHeight="false" outlineLevel="0" collapsed="false">
      <c r="A13" s="5" t="s">
        <v>52</v>
      </c>
      <c r="B13" s="6" t="s">
        <v>53</v>
      </c>
      <c r="C13" s="5" t="s">
        <v>13</v>
      </c>
      <c r="D13" s="5" t="s">
        <v>47</v>
      </c>
      <c r="E13" s="7" t="s">
        <v>54</v>
      </c>
      <c r="F13" s="5" t="s">
        <v>55</v>
      </c>
      <c r="G13" s="5" t="s">
        <v>56</v>
      </c>
      <c r="H13" s="5" t="s">
        <v>57</v>
      </c>
    </row>
    <row r="14" customFormat="false" ht="46.25" hidden="false" customHeight="false" outlineLevel="0" collapsed="false">
      <c r="A14" s="5" t="s">
        <v>58</v>
      </c>
      <c r="B14" s="10"/>
      <c r="C14" s="5" t="s">
        <v>59</v>
      </c>
      <c r="D14" s="5" t="s">
        <v>47</v>
      </c>
      <c r="E14" s="7" t="s">
        <v>60</v>
      </c>
      <c r="F14" s="5" t="s">
        <v>16</v>
      </c>
      <c r="G14" s="5" t="s">
        <v>61</v>
      </c>
      <c r="H14" s="5" t="s">
        <v>62</v>
      </c>
    </row>
    <row r="15" customFormat="false" ht="15" hidden="false" customHeight="false" outlineLevel="0" collapsed="false">
      <c r="A15" s="5" t="s">
        <v>63</v>
      </c>
      <c r="B15" s="11"/>
      <c r="C15" s="5" t="s">
        <v>64</v>
      </c>
      <c r="D15" s="5" t="s">
        <v>47</v>
      </c>
      <c r="E15" s="7" t="s">
        <v>65</v>
      </c>
      <c r="F15" s="5" t="s">
        <v>16</v>
      </c>
      <c r="G15" s="5" t="s">
        <v>61</v>
      </c>
      <c r="H15" s="5" t="s">
        <v>66</v>
      </c>
    </row>
    <row r="17" customFormat="false" ht="15" hidden="false" customHeight="false" outlineLevel="0" collapsed="false">
      <c r="A17" s="3" t="s">
        <v>67</v>
      </c>
    </row>
    <row r="18" customFormat="false" ht="25.5" hidden="false" customHeight="true" outlineLevel="0" collapsed="false">
      <c r="A18" s="4" t="s">
        <v>68</v>
      </c>
      <c r="B18" s="4" t="s">
        <v>69</v>
      </c>
      <c r="C18" s="4" t="s">
        <v>70</v>
      </c>
      <c r="D18" s="4" t="s">
        <v>71</v>
      </c>
      <c r="E18" s="4" t="s">
        <v>72</v>
      </c>
      <c r="F18" s="4" t="s">
        <v>73</v>
      </c>
      <c r="G18" s="4" t="s">
        <v>74</v>
      </c>
      <c r="H18" s="4" t="s">
        <v>75</v>
      </c>
    </row>
    <row r="19" customFormat="false" ht="15" hidden="false" customHeight="false" outlineLevel="0" collapsed="false">
      <c r="A19" s="5" t="s">
        <v>76</v>
      </c>
      <c r="B19" s="9" t="n">
        <v>8000</v>
      </c>
      <c r="C19" s="9" t="n">
        <v>9000</v>
      </c>
      <c r="D19" s="9" t="n">
        <v>10300</v>
      </c>
      <c r="E19" s="9" t="n">
        <v>11800</v>
      </c>
      <c r="F19" s="9" t="n">
        <v>13500</v>
      </c>
      <c r="G19" s="5" t="s">
        <v>77</v>
      </c>
      <c r="H19" s="7" t="s">
        <v>78</v>
      </c>
    </row>
    <row r="20" customFormat="false" ht="15" hidden="false" customHeight="false" outlineLevel="0" collapsed="false">
      <c r="A20" s="5" t="s">
        <v>79</v>
      </c>
      <c r="B20" s="8" t="n">
        <v>4.1</v>
      </c>
      <c r="C20" s="8" t="n">
        <v>4.7</v>
      </c>
      <c r="D20" s="8" t="n">
        <v>5.35</v>
      </c>
      <c r="E20" s="8" t="n">
        <v>6.1</v>
      </c>
      <c r="F20" s="8" t="n">
        <v>6.85</v>
      </c>
      <c r="G20" s="5" t="s">
        <v>36</v>
      </c>
      <c r="H20" s="7" t="s">
        <v>80</v>
      </c>
    </row>
    <row r="21" customFormat="false" ht="15" hidden="false" customHeight="false" outlineLevel="0" collapsed="false">
      <c r="A21" s="5" t="s">
        <v>81</v>
      </c>
      <c r="B21" s="9" t="n">
        <v>4100</v>
      </c>
      <c r="C21" s="9" t="n">
        <v>4700</v>
      </c>
      <c r="D21" s="9" t="n">
        <v>5350</v>
      </c>
      <c r="E21" s="9" t="n">
        <v>6100</v>
      </c>
      <c r="F21" s="9" t="n">
        <v>6850</v>
      </c>
      <c r="G21" s="5" t="s">
        <v>77</v>
      </c>
      <c r="H21" s="7" t="s">
        <v>78</v>
      </c>
    </row>
    <row r="22" customFormat="false" ht="15" hidden="false" customHeight="false" outlineLevel="0" collapsed="false">
      <c r="A22" s="5" t="s">
        <v>82</v>
      </c>
      <c r="B22" s="9" t="n">
        <v>3600</v>
      </c>
      <c r="C22" s="9" t="n">
        <v>4100</v>
      </c>
      <c r="D22" s="9" t="n">
        <v>4800</v>
      </c>
      <c r="E22" s="9" t="n">
        <v>5500</v>
      </c>
      <c r="F22" s="9" t="n">
        <v>6200</v>
      </c>
      <c r="G22" s="5" t="s">
        <v>77</v>
      </c>
      <c r="H22" s="7" t="s">
        <v>83</v>
      </c>
    </row>
    <row r="23" customFormat="false" ht="15" hidden="false" customHeight="false" outlineLevel="0" collapsed="false">
      <c r="A23" s="5" t="s">
        <v>84</v>
      </c>
      <c r="B23" s="9" t="n">
        <v>600</v>
      </c>
      <c r="C23" s="9" t="n">
        <v>640</v>
      </c>
      <c r="D23" s="9" t="n">
        <v>690</v>
      </c>
      <c r="E23" s="9" t="n">
        <v>735</v>
      </c>
      <c r="F23" s="9" t="n">
        <v>780</v>
      </c>
      <c r="G23" s="5" t="s">
        <v>77</v>
      </c>
      <c r="H23" s="7" t="s">
        <v>85</v>
      </c>
    </row>
    <row r="24" customFormat="false" ht="15" hidden="false" customHeight="false" outlineLevel="0" collapsed="false">
      <c r="A24" s="5" t="s">
        <v>86</v>
      </c>
      <c r="B24" s="9" t="n">
        <v>900</v>
      </c>
      <c r="C24" s="9" t="n">
        <v>980</v>
      </c>
      <c r="D24" s="9" t="n">
        <v>1080</v>
      </c>
      <c r="E24" s="9" t="n">
        <v>1200</v>
      </c>
      <c r="F24" s="9" t="n">
        <v>1350</v>
      </c>
      <c r="G24" s="5" t="s">
        <v>77</v>
      </c>
      <c r="H24" s="7" t="s">
        <v>85</v>
      </c>
    </row>
    <row r="25" customFormat="false" ht="23.85" hidden="false" customHeight="false" outlineLevel="0" collapsed="false">
      <c r="A25" s="5" t="s">
        <v>87</v>
      </c>
      <c r="B25" s="9" t="n">
        <v>600</v>
      </c>
      <c r="C25" s="9" t="n">
        <v>640</v>
      </c>
      <c r="D25" s="9" t="n">
        <v>690</v>
      </c>
      <c r="E25" s="9" t="n">
        <v>735</v>
      </c>
      <c r="F25" s="9" t="n">
        <v>780</v>
      </c>
      <c r="G25" s="5" t="s">
        <v>77</v>
      </c>
      <c r="H25" s="7" t="s">
        <v>88</v>
      </c>
    </row>
    <row r="26" customFormat="false" ht="15" hidden="false" customHeight="false" outlineLevel="0" collapsed="false">
      <c r="A26" s="5" t="s">
        <v>89</v>
      </c>
      <c r="B26" s="9" t="n">
        <v>2200</v>
      </c>
      <c r="C26" s="9" t="n">
        <v>2100</v>
      </c>
      <c r="D26" s="9" t="n">
        <v>2000</v>
      </c>
      <c r="E26" s="9" t="n">
        <v>1900</v>
      </c>
      <c r="F26" s="9" t="n">
        <v>1800</v>
      </c>
      <c r="G26" s="5" t="s">
        <v>77</v>
      </c>
      <c r="H26" s="7" t="s">
        <v>90</v>
      </c>
    </row>
    <row r="27" customFormat="false" ht="15" hidden="false" customHeight="false" outlineLevel="0" collapsed="false">
      <c r="A27" s="5" t="s">
        <v>91</v>
      </c>
      <c r="B27" s="9" t="n">
        <v>900</v>
      </c>
      <c r="C27" s="9" t="n">
        <v>1100</v>
      </c>
      <c r="D27" s="9" t="n">
        <v>1300</v>
      </c>
      <c r="E27" s="9" t="n">
        <v>1500</v>
      </c>
      <c r="F27" s="9" t="n">
        <v>1750</v>
      </c>
      <c r="G27" s="5" t="s">
        <v>77</v>
      </c>
      <c r="H27" s="7" t="s">
        <v>90</v>
      </c>
    </row>
    <row r="28" customFormat="false" ht="15" hidden="false" customHeight="false" outlineLevel="0" collapsed="false">
      <c r="A28" s="5" t="s">
        <v>92</v>
      </c>
      <c r="B28" s="9" t="n">
        <v>9800</v>
      </c>
      <c r="C28" s="9" t="n">
        <v>10600</v>
      </c>
      <c r="D28" s="9" t="n">
        <v>11600</v>
      </c>
      <c r="E28" s="9" t="n">
        <v>12800</v>
      </c>
      <c r="F28" s="9" t="n">
        <v>14200</v>
      </c>
      <c r="G28" s="5" t="s">
        <v>77</v>
      </c>
      <c r="H28" s="7" t="s">
        <v>90</v>
      </c>
    </row>
    <row r="29" customFormat="false" ht="15" hidden="false" customHeight="false" outlineLevel="0" collapsed="false">
      <c r="A29" s="5" t="s">
        <v>93</v>
      </c>
      <c r="B29" s="8" t="n">
        <v>0.8</v>
      </c>
      <c r="C29" s="8" t="n">
        <v>0.9</v>
      </c>
      <c r="D29" s="8" t="n">
        <v>1</v>
      </c>
      <c r="E29" s="8" t="n">
        <v>1.1</v>
      </c>
      <c r="F29" s="8" t="n">
        <v>1.2</v>
      </c>
      <c r="G29" s="5" t="s">
        <v>36</v>
      </c>
      <c r="H29" s="7" t="s">
        <v>94</v>
      </c>
    </row>
    <row r="30" customFormat="false" ht="35.05" hidden="false" customHeight="false" outlineLevel="0" collapsed="false">
      <c r="A30" s="5" t="s">
        <v>95</v>
      </c>
      <c r="B30" s="9" t="n">
        <v>4200</v>
      </c>
      <c r="C30" s="9" t="n">
        <v>4740</v>
      </c>
      <c r="D30" s="9" t="n">
        <v>5490</v>
      </c>
      <c r="E30" s="9" t="n">
        <v>6235</v>
      </c>
      <c r="F30" s="9" t="n">
        <v>6980</v>
      </c>
      <c r="G30" s="5" t="s">
        <v>77</v>
      </c>
      <c r="H30" s="7" t="s">
        <v>96</v>
      </c>
    </row>
    <row r="32" customFormat="false" ht="15" hidden="false" customHeight="false" outlineLevel="0" collapsed="false">
      <c r="A32" s="3" t="s">
        <v>97</v>
      </c>
    </row>
    <row r="33" customFormat="false" ht="25.5" hidden="false" customHeight="true" outlineLevel="0" collapsed="false">
      <c r="A33" s="4" t="s">
        <v>98</v>
      </c>
      <c r="B33" s="4" t="s">
        <v>4</v>
      </c>
      <c r="C33" s="4" t="s">
        <v>5</v>
      </c>
      <c r="D33" s="4" t="s">
        <v>99</v>
      </c>
      <c r="E33" s="4" t="s">
        <v>10</v>
      </c>
    </row>
    <row r="34" customFormat="false" ht="23.85" hidden="false" customHeight="false" outlineLevel="0" collapsed="false">
      <c r="A34" s="5" t="s">
        <v>100</v>
      </c>
      <c r="B34" s="12" t="n">
        <v>0.1</v>
      </c>
      <c r="C34" s="5" t="s">
        <v>101</v>
      </c>
      <c r="D34" s="7" t="s">
        <v>102</v>
      </c>
      <c r="E34" s="5" t="s">
        <v>103</v>
      </c>
    </row>
    <row r="35" customFormat="false" ht="57.45" hidden="false" customHeight="false" outlineLevel="0" collapsed="false">
      <c r="A35" s="5" t="s">
        <v>104</v>
      </c>
      <c r="B35" s="12" t="n">
        <v>0.025</v>
      </c>
      <c r="C35" s="5" t="s">
        <v>101</v>
      </c>
      <c r="D35" s="7" t="s">
        <v>105</v>
      </c>
      <c r="E35" s="5" t="s">
        <v>106</v>
      </c>
    </row>
    <row r="36" customFormat="false" ht="35.05" hidden="false" customHeight="false" outlineLevel="0" collapsed="false">
      <c r="A36" s="5" t="s">
        <v>107</v>
      </c>
      <c r="B36" s="13" t="n">
        <v>5</v>
      </c>
      <c r="C36" s="5" t="s">
        <v>108</v>
      </c>
      <c r="D36" s="7" t="s">
        <v>109</v>
      </c>
      <c r="E36" s="5" t="s">
        <v>110</v>
      </c>
    </row>
    <row r="37" customFormat="false" ht="113.4" hidden="false" customHeight="false" outlineLevel="0" collapsed="false">
      <c r="A37" s="5" t="s">
        <v>111</v>
      </c>
      <c r="B37" s="6" t="s">
        <v>112</v>
      </c>
      <c r="C37" s="5" t="s">
        <v>113</v>
      </c>
      <c r="D37" s="7" t="s">
        <v>114</v>
      </c>
      <c r="E37" s="5" t="s">
        <v>115</v>
      </c>
    </row>
    <row r="38" customFormat="false" ht="46.25" hidden="false" customHeight="false" outlineLevel="0" collapsed="false">
      <c r="A38" s="5" t="s">
        <v>116</v>
      </c>
      <c r="B38" s="10" t="n">
        <v>18</v>
      </c>
      <c r="C38" s="5" t="s">
        <v>59</v>
      </c>
      <c r="D38" s="7" t="s">
        <v>117</v>
      </c>
      <c r="E38" s="5" t="s">
        <v>118</v>
      </c>
    </row>
    <row r="39" customFormat="false" ht="57.45" hidden="false" customHeight="false" outlineLevel="0" collapsed="false">
      <c r="A39" s="5" t="s">
        <v>119</v>
      </c>
      <c r="B39" s="10" t="n">
        <v>1.5</v>
      </c>
      <c r="C39" s="5" t="s">
        <v>59</v>
      </c>
      <c r="D39" s="7" t="s">
        <v>120</v>
      </c>
      <c r="E39" s="5" t="s">
        <v>121</v>
      </c>
    </row>
    <row r="40" customFormat="false" ht="35.05" hidden="false" customHeight="false" outlineLevel="0" collapsed="false">
      <c r="A40" s="5" t="s">
        <v>122</v>
      </c>
      <c r="B40" s="10" t="n">
        <v>30</v>
      </c>
      <c r="C40" s="5" t="s">
        <v>59</v>
      </c>
      <c r="D40" s="7" t="s">
        <v>123</v>
      </c>
      <c r="E40" s="5" t="s">
        <v>124</v>
      </c>
    </row>
    <row r="41" customFormat="false" ht="35.05" hidden="false" customHeight="false" outlineLevel="0" collapsed="false">
      <c r="A41" s="5" t="s">
        <v>125</v>
      </c>
      <c r="B41" s="10" t="n">
        <v>10</v>
      </c>
      <c r="C41" s="5" t="s">
        <v>59</v>
      </c>
      <c r="D41" s="7" t="s">
        <v>126</v>
      </c>
      <c r="E41" s="5" t="s">
        <v>127</v>
      </c>
    </row>
    <row r="42" customFormat="false" ht="124.6" hidden="false" customHeight="false" outlineLevel="0" collapsed="false">
      <c r="A42" s="5" t="s">
        <v>128</v>
      </c>
      <c r="B42" s="6" t="s">
        <v>129</v>
      </c>
      <c r="C42" s="5" t="s">
        <v>130</v>
      </c>
      <c r="D42" s="7" t="s">
        <v>131</v>
      </c>
      <c r="E42" s="5" t="s">
        <v>132</v>
      </c>
    </row>
    <row r="43" customFormat="false" ht="35.05" hidden="false" customHeight="false" outlineLevel="0" collapsed="false">
      <c r="A43" s="5" t="s">
        <v>133</v>
      </c>
      <c r="B43" s="12" t="n">
        <v>0.25</v>
      </c>
      <c r="C43" s="5" t="s">
        <v>101</v>
      </c>
      <c r="D43" s="7" t="s">
        <v>134</v>
      </c>
      <c r="E43" s="5" t="s">
        <v>135</v>
      </c>
    </row>
    <row r="44" customFormat="false" ht="35.05" hidden="false" customHeight="false" outlineLevel="0" collapsed="false">
      <c r="A44" s="5" t="s">
        <v>136</v>
      </c>
      <c r="B44" s="10" t="n">
        <v>1</v>
      </c>
      <c r="C44" s="5" t="s">
        <v>59</v>
      </c>
      <c r="D44" s="7" t="s">
        <v>137</v>
      </c>
      <c r="E44" s="5" t="s">
        <v>138</v>
      </c>
    </row>
    <row r="45" customFormat="false" ht="35.05" hidden="false" customHeight="false" outlineLevel="0" collapsed="false">
      <c r="A45" s="5" t="s">
        <v>139</v>
      </c>
      <c r="B45" s="10" t="n">
        <v>2</v>
      </c>
      <c r="C45" s="5" t="s">
        <v>59</v>
      </c>
      <c r="D45" s="7" t="s">
        <v>140</v>
      </c>
      <c r="E45" s="5" t="s">
        <v>141</v>
      </c>
    </row>
    <row r="46" customFormat="false" ht="35.05" hidden="false" customHeight="false" outlineLevel="0" collapsed="false">
      <c r="A46" s="5" t="s">
        <v>142</v>
      </c>
      <c r="B46" s="12" t="n">
        <v>0.09</v>
      </c>
      <c r="C46" s="5" t="s">
        <v>101</v>
      </c>
      <c r="D46" s="7" t="s">
        <v>143</v>
      </c>
      <c r="E46" s="5" t="s">
        <v>144</v>
      </c>
    </row>
    <row r="47" customFormat="false" ht="46.25" hidden="false" customHeight="false" outlineLevel="0" collapsed="false">
      <c r="A47" s="5" t="s">
        <v>145</v>
      </c>
      <c r="B47" s="12" t="n">
        <v>0.1</v>
      </c>
      <c r="C47" s="5" t="s">
        <v>101</v>
      </c>
      <c r="D47" s="7" t="s">
        <v>146</v>
      </c>
      <c r="E47" s="5" t="s">
        <v>147</v>
      </c>
    </row>
    <row r="48" customFormat="false" ht="35.05" hidden="false" customHeight="false" outlineLevel="0" collapsed="false">
      <c r="A48" s="5" t="s">
        <v>148</v>
      </c>
      <c r="B48" s="12" t="n">
        <v>0.09</v>
      </c>
      <c r="C48" s="5" t="s">
        <v>101</v>
      </c>
      <c r="D48" s="7" t="s">
        <v>149</v>
      </c>
      <c r="E48" s="5" t="s">
        <v>150</v>
      </c>
    </row>
    <row r="49" customFormat="false" ht="23.85" hidden="false" customHeight="false" outlineLevel="0" collapsed="false">
      <c r="A49" s="5" t="s">
        <v>151</v>
      </c>
      <c r="B49" s="12" t="n">
        <v>0.45</v>
      </c>
      <c r="C49" s="5" t="s">
        <v>101</v>
      </c>
      <c r="D49" s="7" t="s">
        <v>152</v>
      </c>
      <c r="E49" s="5" t="s">
        <v>153</v>
      </c>
    </row>
    <row r="50" customFormat="false" ht="23.85" hidden="false" customHeight="false" outlineLevel="0" collapsed="false">
      <c r="A50" s="5" t="s">
        <v>154</v>
      </c>
      <c r="B50" s="12" t="n">
        <v>0.35</v>
      </c>
      <c r="C50" s="5" t="s">
        <v>101</v>
      </c>
      <c r="D50" s="7" t="s">
        <v>152</v>
      </c>
      <c r="E50" s="5" t="s">
        <v>155</v>
      </c>
    </row>
    <row r="51" customFormat="false" ht="23.85" hidden="false" customHeight="false" outlineLevel="0" collapsed="false">
      <c r="A51" s="5" t="s">
        <v>156</v>
      </c>
      <c r="B51" s="12" t="n">
        <v>0.2</v>
      </c>
      <c r="C51" s="5" t="s">
        <v>101</v>
      </c>
      <c r="D51" s="7" t="s">
        <v>152</v>
      </c>
      <c r="E51" s="5" t="s">
        <v>157</v>
      </c>
    </row>
    <row r="52" customFormat="false" ht="169.4" hidden="false" customHeight="false" outlineLevel="0" collapsed="false">
      <c r="A52" s="5" t="s">
        <v>158</v>
      </c>
      <c r="B52" s="12" t="n">
        <v>0.05</v>
      </c>
      <c r="C52" s="5" t="s">
        <v>101</v>
      </c>
      <c r="D52" s="7" t="s">
        <v>159</v>
      </c>
      <c r="E52" s="5" t="s">
        <v>160</v>
      </c>
    </row>
    <row r="54" customFormat="false" ht="15" hidden="false" customHeight="false" outlineLevel="0" collapsed="false">
      <c r="A54" s="3" t="s">
        <v>161</v>
      </c>
    </row>
    <row r="55" customFormat="false" ht="25.5" hidden="false" customHeight="true" outlineLevel="0" collapsed="false">
      <c r="A55" s="4" t="s">
        <v>162</v>
      </c>
      <c r="B55" s="4" t="s">
        <v>163</v>
      </c>
      <c r="C55" s="4" t="s">
        <v>164</v>
      </c>
      <c r="D55" s="4" t="s">
        <v>165</v>
      </c>
      <c r="E55" s="4" t="s">
        <v>10</v>
      </c>
    </row>
    <row r="56" customFormat="false" ht="46.25" hidden="false" customHeight="false" outlineLevel="0" collapsed="false">
      <c r="A56" s="5" t="s">
        <v>166</v>
      </c>
      <c r="B56" s="13" t="n">
        <v>4</v>
      </c>
      <c r="C56" s="7" t="s">
        <v>167</v>
      </c>
      <c r="D56" s="5" t="s">
        <v>168</v>
      </c>
      <c r="E56" s="5" t="s">
        <v>169</v>
      </c>
    </row>
    <row r="57" customFormat="false" ht="35.05" hidden="false" customHeight="false" outlineLevel="0" collapsed="false">
      <c r="A57" s="5" t="s">
        <v>170</v>
      </c>
      <c r="B57" s="13" t="n">
        <v>4</v>
      </c>
      <c r="C57" s="7" t="s">
        <v>171</v>
      </c>
      <c r="D57" s="5" t="s">
        <v>168</v>
      </c>
      <c r="E57" s="5" t="s">
        <v>172</v>
      </c>
    </row>
    <row r="58" customFormat="false" ht="35.05" hidden="false" customHeight="false" outlineLevel="0" collapsed="false">
      <c r="A58" s="5" t="s">
        <v>173</v>
      </c>
      <c r="B58" s="13" t="n">
        <v>4</v>
      </c>
      <c r="C58" s="7" t="s">
        <v>174</v>
      </c>
      <c r="D58" s="5" t="s">
        <v>168</v>
      </c>
      <c r="E58" s="5" t="s">
        <v>175</v>
      </c>
    </row>
    <row r="59" customFormat="false" ht="35.05" hidden="false" customHeight="false" outlineLevel="0" collapsed="false">
      <c r="A59" s="5" t="s">
        <v>176</v>
      </c>
      <c r="B59" s="13" t="n">
        <v>4</v>
      </c>
      <c r="C59" s="7" t="s">
        <v>177</v>
      </c>
      <c r="D59" s="5" t="s">
        <v>168</v>
      </c>
      <c r="E59" s="5" t="s">
        <v>178</v>
      </c>
    </row>
    <row r="60" customFormat="false" ht="35.05" hidden="false" customHeight="false" outlineLevel="0" collapsed="false">
      <c r="A60" s="5" t="s">
        <v>179</v>
      </c>
      <c r="B60" s="13" t="n">
        <v>4</v>
      </c>
      <c r="C60" s="7" t="s">
        <v>180</v>
      </c>
      <c r="D60" s="5" t="s">
        <v>168</v>
      </c>
      <c r="E60" s="5" t="s">
        <v>181</v>
      </c>
    </row>
    <row r="62" customFormat="false" ht="15" hidden="false" customHeight="false" outlineLevel="0" collapsed="false">
      <c r="A62" s="3" t="s">
        <v>182</v>
      </c>
    </row>
    <row r="63" customFormat="false" ht="25.5" hidden="false" customHeight="true" outlineLevel="0" collapsed="false">
      <c r="A63" s="4" t="s">
        <v>183</v>
      </c>
      <c r="B63" s="4" t="s">
        <v>184</v>
      </c>
      <c r="C63" s="4" t="s">
        <v>185</v>
      </c>
      <c r="D63" s="4" t="s">
        <v>186</v>
      </c>
      <c r="E63" s="4" t="s">
        <v>187</v>
      </c>
      <c r="F63" s="4" t="s">
        <v>188</v>
      </c>
    </row>
    <row r="64" customFormat="false" ht="23.85" hidden="false" customHeight="false" outlineLevel="0" collapsed="false">
      <c r="A64" s="5" t="s">
        <v>189</v>
      </c>
      <c r="B64" s="5" t="s">
        <v>190</v>
      </c>
      <c r="C64" s="5" t="s">
        <v>191</v>
      </c>
      <c r="D64" s="5" t="s">
        <v>192</v>
      </c>
      <c r="E64" s="5"/>
      <c r="F64" s="7" t="s">
        <v>193</v>
      </c>
    </row>
    <row r="65" customFormat="false" ht="15" hidden="false" customHeight="false" outlineLevel="0" collapsed="false">
      <c r="A65" s="5" t="s">
        <v>194</v>
      </c>
      <c r="B65" s="5"/>
      <c r="C65" s="5" t="s">
        <v>195</v>
      </c>
      <c r="D65" s="5" t="s">
        <v>196</v>
      </c>
      <c r="E65" s="5"/>
      <c r="F65" s="7" t="s">
        <v>197</v>
      </c>
    </row>
    <row r="66" customFormat="false" ht="23.85" hidden="false" customHeight="false" outlineLevel="0" collapsed="false">
      <c r="A66" s="5" t="s">
        <v>198</v>
      </c>
      <c r="B66" s="5"/>
      <c r="C66" s="5" t="s">
        <v>199</v>
      </c>
      <c r="D66" s="5" t="s">
        <v>16</v>
      </c>
      <c r="E66" s="5"/>
      <c r="F66" s="7" t="s">
        <v>200</v>
      </c>
    </row>
    <row r="67" customFormat="false" ht="23.85" hidden="false" customHeight="false" outlineLevel="0" collapsed="false">
      <c r="A67" s="5" t="s">
        <v>201</v>
      </c>
      <c r="B67" s="5"/>
      <c r="C67" s="5" t="s">
        <v>202</v>
      </c>
      <c r="D67" s="5" t="s">
        <v>192</v>
      </c>
      <c r="E67" s="5"/>
      <c r="F67" s="7" t="s">
        <v>203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11"/>
    <col collapsed="false" customWidth="true" hidden="false" outlineLevel="0" max="4" min="4" style="0" width="62"/>
    <col collapsed="false" customWidth="true" hidden="false" outlineLevel="0" max="5" min="5" style="0" width="3"/>
    <col collapsed="false" customWidth="true" hidden="false" outlineLevel="0" max="6" min="6" style="0" width="22"/>
    <col collapsed="false" customWidth="true" hidden="false" outlineLevel="0" max="7" min="7" style="0" width="10"/>
    <col collapsed="false" customWidth="true" hidden="false" outlineLevel="0" max="8" min="8" style="0" width="44"/>
  </cols>
  <sheetData>
    <row r="1" customFormat="false" ht="17.35" hidden="false" customHeight="false" outlineLevel="0" collapsed="false">
      <c r="A1" s="1" t="s">
        <v>204</v>
      </c>
    </row>
    <row r="2" customFormat="false" ht="15" hidden="false" customHeight="false" outlineLevel="0" collapsed="false">
      <c r="A2" s="2" t="s">
        <v>205</v>
      </c>
    </row>
    <row r="3" customFormat="false" ht="15" hidden="false" customHeight="false" outlineLevel="0" collapsed="false">
      <c r="A3" s="3" t="s">
        <v>206</v>
      </c>
      <c r="F3" s="3" t="s">
        <v>207</v>
      </c>
    </row>
    <row r="4" customFormat="false" ht="25.5" hidden="false" customHeight="true" outlineLevel="0" collapsed="false">
      <c r="A4" s="4" t="s">
        <v>68</v>
      </c>
      <c r="B4" s="4" t="s">
        <v>208</v>
      </c>
      <c r="C4" s="4" t="s">
        <v>74</v>
      </c>
      <c r="D4" s="4" t="s">
        <v>209</v>
      </c>
      <c r="F4" s="4" t="s">
        <v>210</v>
      </c>
      <c r="G4" s="4" t="s">
        <v>211</v>
      </c>
      <c r="H4" s="4" t="s">
        <v>212</v>
      </c>
    </row>
    <row r="5" customFormat="false" ht="23.85" hidden="false" customHeight="false" outlineLevel="0" collapsed="false">
      <c r="A5" s="5" t="s">
        <v>213</v>
      </c>
      <c r="B5" s="14" t="n">
        <f aca="false">IF(OR(NOT(ISNUMBER(01_Input_Template!B19)),NOT(ISNUMBER(01_Input_Template!F19)),01_Input_Template!B19&lt;=0,01_Input_Template!F19&lt;=0),"n/a",(01_Input_Template!F19/01_Input_Template!B19)^(1/4)-1)</f>
        <v>0.139753528477389</v>
      </c>
      <c r="C5" s="5" t="s">
        <v>101</v>
      </c>
      <c r="D5" s="7" t="s">
        <v>214</v>
      </c>
      <c r="F5" s="5" t="s">
        <v>215</v>
      </c>
      <c r="G5" s="15" t="n">
        <f aca="false">AVERAGE(B23,B24,B25)</f>
        <v>70.372805629535</v>
      </c>
      <c r="H5" s="7" t="s">
        <v>216</v>
      </c>
    </row>
    <row r="6" customFormat="false" ht="15" hidden="false" customHeight="false" outlineLevel="0" collapsed="false">
      <c r="A6" s="5" t="s">
        <v>217</v>
      </c>
      <c r="B6" s="14" t="n">
        <f aca="false">IF(OR(NOT(ISNUMBER(01_Input_Template!B20)),NOT(ISNUMBER(01_Input_Template!F20)),01_Input_Template!B20&lt;=0,01_Input_Template!F20&lt;=0),"n/a",(01_Input_Template!F20/01_Input_Template!B20)^(1/4)-1)</f>
        <v>0.13691155038063</v>
      </c>
      <c r="C6" s="5" t="s">
        <v>101</v>
      </c>
      <c r="D6" s="7" t="s">
        <v>218</v>
      </c>
      <c r="F6" s="5" t="s">
        <v>219</v>
      </c>
      <c r="G6" s="15" t="n">
        <f aca="false">AVERAGE(B26,B27)</f>
        <v>100</v>
      </c>
      <c r="H6" s="7" t="s">
        <v>220</v>
      </c>
    </row>
    <row r="7" customFormat="false" ht="15" hidden="false" customHeight="false" outlineLevel="0" collapsed="false">
      <c r="A7" s="5" t="s">
        <v>221</v>
      </c>
      <c r="B7" s="14" t="n">
        <f aca="false">IF(OR(NOT(ISNUMBER(01_Input_Template!B22)),NOT(ISNUMBER(01_Input_Template!F22)),01_Input_Template!B22&lt;=0,01_Input_Template!F22&lt;=0),"n/a",(01_Input_Template!F22/01_Input_Template!B22)^(1/4)-1)</f>
        <v>0.145571754919191</v>
      </c>
      <c r="C7" s="5" t="s">
        <v>101</v>
      </c>
      <c r="D7" s="7" t="s">
        <v>222</v>
      </c>
      <c r="F7" s="5" t="s">
        <v>90</v>
      </c>
      <c r="G7" s="15" t="n">
        <f aca="false">AVERAGE(B28,B29)</f>
        <v>96.7397450395806</v>
      </c>
      <c r="H7" s="7" t="s">
        <v>223</v>
      </c>
    </row>
    <row r="8" customFormat="false" ht="15" hidden="false" customHeight="false" outlineLevel="0" collapsed="false">
      <c r="A8" s="5" t="s">
        <v>224</v>
      </c>
      <c r="B8" s="16" t="n">
        <f aca="false">IF(OR(NOT(ISNUMBER(01_Input_Template!F20)),01_Input_Template!F20&lt;=0),"n/a",01_Input_Template!B10/01_Input_Template!F20)</f>
        <v>14.5985401459854</v>
      </c>
      <c r="C8" s="5" t="s">
        <v>59</v>
      </c>
      <c r="D8" s="7" t="s">
        <v>225</v>
      </c>
      <c r="F8" s="5" t="s">
        <v>226</v>
      </c>
      <c r="G8" s="15" t="n">
        <f aca="false">B30</f>
        <v>94.6979777504542</v>
      </c>
      <c r="H8" s="7" t="s">
        <v>227</v>
      </c>
    </row>
    <row r="9" customFormat="false" ht="15" hidden="false" customHeight="false" outlineLevel="0" collapsed="false">
      <c r="A9" s="5" t="s">
        <v>228</v>
      </c>
      <c r="B9" s="16" t="n">
        <f aca="false">IF(OR(NOT(ISNUMBER(B8)),NOT(ISNUMBER(B6)),B6&lt;=0),"n/a",B8/(B6*100))</f>
        <v>1.06627527811932</v>
      </c>
      <c r="C9" s="5" t="s">
        <v>59</v>
      </c>
      <c r="D9" s="7" t="s">
        <v>229</v>
      </c>
      <c r="F9" s="5" t="s">
        <v>230</v>
      </c>
      <c r="G9" s="15" t="n">
        <f aca="false">B31</f>
        <v>31.9329678871206</v>
      </c>
      <c r="H9" s="7" t="s">
        <v>231</v>
      </c>
    </row>
    <row r="10" customFormat="false" ht="15" hidden="false" customHeight="false" outlineLevel="0" collapsed="false">
      <c r="A10" s="5" t="s">
        <v>232</v>
      </c>
      <c r="B10" s="14" t="n">
        <f aca="false">IFERROR(B18/01_Input_Template!F19,"n/a")</f>
        <v>0.459259259259259</v>
      </c>
      <c r="C10" s="5" t="s">
        <v>101</v>
      </c>
      <c r="D10" s="7" t="s">
        <v>233</v>
      </c>
      <c r="F10" s="5" t="s">
        <v>234</v>
      </c>
      <c r="G10" s="15" t="n">
        <f aca="false">IFERROR(AVERAGE(01_Input_Template!B56:B60)/5*100,0)</f>
        <v>80</v>
      </c>
      <c r="H10" s="7" t="s">
        <v>235</v>
      </c>
    </row>
    <row r="11" customFormat="false" ht="15" hidden="false" customHeight="false" outlineLevel="0" collapsed="false">
      <c r="A11" s="5" t="s">
        <v>236</v>
      </c>
      <c r="B11" s="14" t="n">
        <f aca="false">IFERROR(01_Input_Template!F22/01_Input_Template!F19,"n/a")</f>
        <v>0.459259259259259</v>
      </c>
      <c r="C11" s="5" t="s">
        <v>101</v>
      </c>
      <c r="D11" s="7" t="s">
        <v>237</v>
      </c>
      <c r="F11" s="17" t="s">
        <v>238</v>
      </c>
      <c r="G11" s="18" t="n">
        <f aca="false">IFERROR(AVERAGE(G5,G6,G10)*01_Input_Template!B49+AVERAGE(G8,G9)*01_Input_Template!B50+G7*01_Input_Template!B51,"n/a")</f>
        <v>79.064285338922</v>
      </c>
      <c r="H11" s="7" t="s">
        <v>239</v>
      </c>
    </row>
    <row r="12" customFormat="false" ht="15" hidden="false" customHeight="false" outlineLevel="0" collapsed="false">
      <c r="A12" s="5" t="s">
        <v>240</v>
      </c>
      <c r="B12" s="14" t="n">
        <f aca="false">IFERROR(01_Input_Template!F21/01_Input_Template!F28,"n/a")</f>
        <v>0.482394366197183</v>
      </c>
      <c r="C12" s="5" t="s">
        <v>101</v>
      </c>
      <c r="D12" s="7" t="s">
        <v>241</v>
      </c>
    </row>
    <row r="13" customFormat="false" ht="15" hidden="false" customHeight="false" outlineLevel="0" collapsed="false">
      <c r="A13" s="5" t="s">
        <v>242</v>
      </c>
      <c r="B13" s="16" t="n">
        <f aca="false">IFERROR(01_Input_Template!F26/01_Input_Template!F28,"n/a")</f>
        <v>0.126760563380282</v>
      </c>
      <c r="C13" s="5" t="s">
        <v>59</v>
      </c>
      <c r="D13" s="7" t="s">
        <v>243</v>
      </c>
    </row>
    <row r="14" customFormat="false" ht="15" hidden="false" customHeight="false" outlineLevel="0" collapsed="false">
      <c r="A14" s="5" t="s">
        <v>244</v>
      </c>
      <c r="B14" s="19" t="n">
        <f aca="false">IFERROR(01_Input_Template!F27-01_Input_Template!F26,"n/a")</f>
        <v>-50</v>
      </c>
      <c r="C14" s="5" t="s">
        <v>77</v>
      </c>
      <c r="D14" s="7" t="s">
        <v>245</v>
      </c>
    </row>
    <row r="15" customFormat="false" ht="15" hidden="false" customHeight="false" outlineLevel="0" collapsed="false">
      <c r="A15" s="5" t="s">
        <v>246</v>
      </c>
      <c r="B15" s="19" t="n">
        <f aca="false">IFERROR(01_Input_Template!F21+01_Input_Template!F23-01_Input_Template!F25,"n/a")</f>
        <v>6850</v>
      </c>
      <c r="C15" s="5" t="s">
        <v>77</v>
      </c>
      <c r="D15" s="7" t="s">
        <v>247</v>
      </c>
    </row>
    <row r="16" customFormat="false" ht="15" hidden="false" customHeight="false" outlineLevel="0" collapsed="false">
      <c r="A16" s="5" t="s">
        <v>248</v>
      </c>
      <c r="B16" s="20" t="n">
        <f aca="false">IFERROR(B15/01_Input_Template!B11,"n/a")</f>
        <v>6.85</v>
      </c>
      <c r="C16" s="5" t="s">
        <v>36</v>
      </c>
      <c r="D16" s="7" t="s">
        <v>249</v>
      </c>
    </row>
    <row r="17" customFormat="false" ht="15" hidden="false" customHeight="false" outlineLevel="0" collapsed="false">
      <c r="A17" s="5" t="s">
        <v>250</v>
      </c>
      <c r="B17" s="16" t="n">
        <f aca="false">IF(B14&gt;=0,0,IFERROR(-B14/B15,"n/a"))</f>
        <v>0.0072992700729927</v>
      </c>
      <c r="C17" s="5" t="s">
        <v>59</v>
      </c>
      <c r="D17" s="7" t="s">
        <v>251</v>
      </c>
    </row>
    <row r="18" customFormat="false" ht="15" hidden="false" customHeight="false" outlineLevel="0" collapsed="false">
      <c r="A18" s="5" t="s">
        <v>252</v>
      </c>
      <c r="B18" s="19" t="n">
        <f aca="false">IF(01_Input_Template!B42="Reported",01_Input_Template!F22,IF(01_Input_Template!B42="Average3",AVERAGE(01_Input_Template!D22:F22),IF(ISNUMBER(01_Input_Template!F30),01_Input_Template!F30-01_Input_Template!F25,01_Input_Template!F21+01_Input_Template!F23-01_Input_Template!F25)))</f>
        <v>6200</v>
      </c>
      <c r="C18" s="5" t="s">
        <v>77</v>
      </c>
      <c r="D18" s="7" t="s">
        <v>253</v>
      </c>
    </row>
    <row r="19" customFormat="false" ht="15" hidden="false" customHeight="false" outlineLevel="0" collapsed="false">
      <c r="A19" s="5" t="s">
        <v>254</v>
      </c>
      <c r="B19" s="16" t="n">
        <f aca="false">IF(01_Input_Template!B37="Manual",01_Input_Template!B38,MIN(01_Input_Template!B40,MAX(01_Input_Template!B41,01_Input_Template!B39*01_Input_Template!B47*100)))</f>
        <v>15</v>
      </c>
      <c r="C19" s="5" t="s">
        <v>59</v>
      </c>
      <c r="D19" s="7" t="s">
        <v>255</v>
      </c>
    </row>
    <row r="21" customFormat="false" ht="15" hidden="false" customHeight="false" outlineLevel="0" collapsed="false">
      <c r="A21" s="3" t="s">
        <v>256</v>
      </c>
    </row>
    <row r="22" customFormat="false" ht="25.5" hidden="false" customHeight="true" outlineLevel="0" collapsed="false">
      <c r="A22" s="4" t="s">
        <v>257</v>
      </c>
      <c r="B22" s="4" t="s">
        <v>211</v>
      </c>
      <c r="C22" s="4" t="s">
        <v>258</v>
      </c>
    </row>
    <row r="23" customFormat="false" ht="57.45" hidden="false" customHeight="false" outlineLevel="0" collapsed="false">
      <c r="A23" s="5" t="s">
        <v>259</v>
      </c>
      <c r="B23" s="15" t="n">
        <f aca="false">IF(NOT(ISNUMBER(B5)),0,MAX(0,MIN(100,B5/0.2*100)))</f>
        <v>69.8767642386944</v>
      </c>
      <c r="C23" s="7" t="s">
        <v>260</v>
      </c>
    </row>
    <row r="24" customFormat="false" ht="23.85" hidden="false" customHeight="false" outlineLevel="0" collapsed="false">
      <c r="A24" s="5" t="s">
        <v>261</v>
      </c>
      <c r="B24" s="15" t="n">
        <f aca="false">IF(NOT(ISNUMBER(B6)),0,MAX(0,MIN(100,B6/0.2*100)))</f>
        <v>68.4557751903151</v>
      </c>
      <c r="C24" s="7" t="s">
        <v>262</v>
      </c>
    </row>
    <row r="25" customFormat="false" ht="46.25" hidden="false" customHeight="false" outlineLevel="0" collapsed="false">
      <c r="A25" s="5" t="s">
        <v>263</v>
      </c>
      <c r="B25" s="15" t="n">
        <f aca="false">IF(NOT(ISNUMBER(B7)),0,MAX(0,MIN(100,B7/0.2*100)))</f>
        <v>72.7858774595955</v>
      </c>
      <c r="C25" s="7" t="s">
        <v>264</v>
      </c>
    </row>
    <row r="26" customFormat="false" ht="23.85" hidden="false" customHeight="false" outlineLevel="0" collapsed="false">
      <c r="A26" s="5" t="s">
        <v>265</v>
      </c>
      <c r="B26" s="15" t="n">
        <f aca="false">IF(NOT(ISNUMBER(B12)),0,MAX(0,MIN(100,B12/0.2*100)))</f>
        <v>100</v>
      </c>
      <c r="C26" s="7" t="s">
        <v>266</v>
      </c>
    </row>
    <row r="27" customFormat="false" ht="46.25" hidden="false" customHeight="false" outlineLevel="0" collapsed="false">
      <c r="A27" s="5" t="s">
        <v>267</v>
      </c>
      <c r="B27" s="15" t="n">
        <f aca="false">IF(NOT(ISNUMBER(B10)),0,MAX(0,MIN(100,B10/0.15*100)))</f>
        <v>100</v>
      </c>
      <c r="C27" s="7" t="s">
        <v>268</v>
      </c>
    </row>
    <row r="28" customFormat="false" ht="35.05" hidden="false" customHeight="false" outlineLevel="0" collapsed="false">
      <c r="A28" s="5" t="s">
        <v>269</v>
      </c>
      <c r="B28" s="15" t="n">
        <f aca="false">IF(NOT(ISNUMBER(B13)),0,MAX(0,MIN(100,100-B13*50)))</f>
        <v>93.6619718309859</v>
      </c>
      <c r="C28" s="7" t="s">
        <v>270</v>
      </c>
    </row>
    <row r="29" customFormat="false" ht="57.45" hidden="false" customHeight="false" outlineLevel="0" collapsed="false">
      <c r="A29" s="5" t="s">
        <v>271</v>
      </c>
      <c r="B29" s="15" t="n">
        <f aca="false">IF(NOT(ISNUMBER(B17)),0,MAX(0,MIN(100,100-B17*25)))</f>
        <v>99.8175182481752</v>
      </c>
      <c r="C29" s="7" t="s">
        <v>272</v>
      </c>
    </row>
    <row r="30" customFormat="false" ht="68.65" hidden="false" customHeight="false" outlineLevel="0" collapsed="false">
      <c r="A30" s="5" t="s">
        <v>273</v>
      </c>
      <c r="B30" s="15" t="n">
        <f aca="false">IF(NOT(ISNUMBER(B9)),0,IF(B9&lt;=01_Input_Template!B44,100,IF(B9&gt;=01_Input_Template!B45,20,100-(B9-01_Input_Template!B44)/(01_Input_Template!B45-01_Input_Template!B44)*80)))</f>
        <v>94.6979777504542</v>
      </c>
      <c r="C30" s="7" t="s">
        <v>274</v>
      </c>
    </row>
    <row r="31" customFormat="false" ht="169.4" hidden="false" customHeight="false" outlineLevel="0" collapsed="false">
      <c r="A31" s="5" t="s">
        <v>275</v>
      </c>
      <c r="B31" s="15" t="n">
        <f aca="false">IF(NOT(ISNUMBER(B68)),0,MAX(0,MIN(100,50+(B68-01_Input_Template!B43)*100)))</f>
        <v>31.9329678871206</v>
      </c>
      <c r="C31" s="7" t="s">
        <v>276</v>
      </c>
    </row>
    <row r="34" customFormat="false" ht="15" hidden="false" customHeight="false" outlineLevel="0" collapsed="false">
      <c r="A34" s="3" t="s">
        <v>277</v>
      </c>
    </row>
    <row r="35" customFormat="false" ht="25.5" hidden="false" customHeight="true" outlineLevel="0" collapsed="false">
      <c r="A35" s="4" t="s">
        <v>278</v>
      </c>
      <c r="B35" s="4" t="s">
        <v>279</v>
      </c>
      <c r="C35" s="4" t="s">
        <v>280</v>
      </c>
      <c r="D35" s="4" t="s">
        <v>281</v>
      </c>
    </row>
    <row r="36" customFormat="false" ht="15" hidden="false" customHeight="false" outlineLevel="0" collapsed="false">
      <c r="A36" s="5" t="s">
        <v>282</v>
      </c>
      <c r="B36" s="21" t="str">
        <f aca="false">IF(IFERROR(NOT(ISNUMBER(B5)),FALSE()),"WARNING","OK")</f>
        <v>OK</v>
      </c>
      <c r="C36" s="5" t="s">
        <v>283</v>
      </c>
      <c r="D36" s="7" t="str">
        <f aca="false">IF(IFERROR(NOT(ISNUMBER(B5)),FALSE()),"Base year is zero or negative; growth rate undefined","Four-year CAGR calculated")</f>
        <v>Four-year CAGR calculated</v>
      </c>
    </row>
    <row r="37" customFormat="false" ht="15" hidden="false" customHeight="false" outlineLevel="0" collapsed="false">
      <c r="A37" s="5" t="s">
        <v>284</v>
      </c>
      <c r="B37" s="21" t="str">
        <f aca="false">IF(IFERROR(NOT(ISNUMBER(B6)),FALSE()),"WARNING","OK")</f>
        <v>OK</v>
      </c>
      <c r="C37" s="5" t="s">
        <v>283</v>
      </c>
      <c r="D37" s="7" t="str">
        <f aca="false">IF(IFERROR(NOT(ISNUMBER(B6)),FALSE()),"Base-year EPS is zero or negative; growth rate undefined","Four-year CAGR calculated")</f>
        <v>Four-year CAGR calculated</v>
      </c>
    </row>
    <row r="38" customFormat="false" ht="15" hidden="false" customHeight="false" outlineLevel="0" collapsed="false">
      <c r="A38" s="5" t="s">
        <v>285</v>
      </c>
      <c r="B38" s="21" t="str">
        <f aca="false">IF(IFERROR(NOT(ISNUMBER(B7)),FALSE()),"WARNING","OK")</f>
        <v>OK</v>
      </c>
      <c r="C38" s="5" t="s">
        <v>283</v>
      </c>
      <c r="D38" s="7" t="str">
        <f aca="false">IF(IFERROR(NOT(ISNUMBER(B7)),FALSE()),"Base-year FCF is zero or negative; growth rate undefined","Four-year CAGR calculated")</f>
        <v>Four-year CAGR calculated</v>
      </c>
    </row>
    <row r="39" customFormat="false" ht="15" hidden="false" customHeight="false" outlineLevel="0" collapsed="false">
      <c r="A39" s="5" t="s">
        <v>286</v>
      </c>
      <c r="B39" s="21" t="str">
        <f aca="false">IF(IFERROR(01_Input_Template!B35&gt;=01_Input_Template!B34,FALSE()),"BLOCKING","OK")</f>
        <v>OK</v>
      </c>
      <c r="C39" s="5" t="s">
        <v>287</v>
      </c>
      <c r="D39" s="7" t="str">
        <f aca="false">IF(IFERROR(01_Input_Template!B35&gt;=01_Input_Template!B34,FALSE()),"Terminal growth meets or exceeds the discount rate; terminal value is meaningless","Gordon growth is well defined")</f>
        <v>Gordon growth is well defined</v>
      </c>
    </row>
    <row r="40" customFormat="false" ht="15" hidden="false" customHeight="false" outlineLevel="0" collapsed="false">
      <c r="A40" s="5" t="s">
        <v>288</v>
      </c>
      <c r="B40" s="21" t="str">
        <f aca="false">IF(IFERROR(ABS(01_Input_Template!B49+01_Input_Template!B50+01_Input_Template!B51-1)&gt;0.001,FALSE()),"BLOCKING","OK")</f>
        <v>OK</v>
      </c>
      <c r="C40" s="5" t="s">
        <v>287</v>
      </c>
      <c r="D40" s="7" t="str">
        <f aca="false">IF(IFERROR(ABS(01_Input_Template!B49+01_Input_Template!B50+01_Input_Template!B51-1)&gt;0.001,FALSE()),"Score weights do not sum to 100%; the composite is not on a 0-100 scale","Weights sum to 100%")</f>
        <v>Weights sum to 100%</v>
      </c>
    </row>
    <row r="41" customFormat="false" ht="15" hidden="false" customHeight="false" outlineLevel="0" collapsed="false">
      <c r="A41" s="5" t="s">
        <v>289</v>
      </c>
      <c r="B41" s="21" t="str">
        <f aca="false">IF(IFERROR(OR(NOT(ISNUMBER(01_Input_Template!B10)),01_Input_Template!B10&lt;=0,NOT(ISNUMBER(01_Input_Template!B11)),01_Input_Template!B11&lt;=0),FALSE()),"BLOCKING","OK")</f>
        <v>OK</v>
      </c>
      <c r="C41" s="5" t="s">
        <v>287</v>
      </c>
      <c r="D41" s="7" t="str">
        <f aca="false">IF(IFERROR(OR(NOT(ISNUMBER(01_Input_Template!B10)),01_Input_Template!B10&lt;=0,NOT(ISNUMBER(01_Input_Template!B11)),01_Input_Template!B11&lt;=0),FALSE()),"Current price or share count is missing or zero","Price and share count present")</f>
        <v>Price and share count present</v>
      </c>
    </row>
    <row r="42" customFormat="false" ht="15" hidden="false" customHeight="false" outlineLevel="0" collapsed="false">
      <c r="A42" s="5" t="s">
        <v>290</v>
      </c>
      <c r="B42" s="21" t="str">
        <f aca="false">IF(IFERROR(OR(NOT(ISNUMBER(B18)),B18&lt;=0),FALSE()),"BLOCKING","OK")</f>
        <v>OK</v>
      </c>
      <c r="C42" s="5" t="s">
        <v>287</v>
      </c>
      <c r="D42" s="7" t="str">
        <f aca="false">IF(IFERROR(OR(NOT(ISNUMBER(B18)),B18&lt;=0),FALSE()),"The normalised cash base is zero or negative; the DCF cannot be relied on","Cash base is positive")</f>
        <v>Cash base is positive</v>
      </c>
    </row>
    <row r="43" customFormat="false" ht="15" hidden="false" customHeight="false" outlineLevel="0" collapsed="false">
      <c r="A43" s="5" t="s">
        <v>291</v>
      </c>
      <c r="B43" s="21" t="str">
        <f aca="false">IF(IFERROR(AND(ISNUMBER(B6),ABS(01_Input_Template!B47-B6)&gt;01_Input_Template!B52),FALSE()),"WARNING","OK")</f>
        <v>OK</v>
      </c>
      <c r="C43" s="5" t="s">
        <v>283</v>
      </c>
      <c r="D43" s="7" t="str">
        <f aca="false">IF(IFERROR(AND(ISNUMBER(B6),ABS(01_Input_Template!B47-B6)&gt;01_Input_Template!B52),FALSE()),"Forecast EPS growth is far from the historical CAGR; it also sets the implied exit multiple, so review it","Forecast sits within tolerance of the historical CAGR")</f>
        <v>Forecast sits within tolerance of the historical CAGR</v>
      </c>
    </row>
    <row r="44" customFormat="false" ht="15" hidden="false" customHeight="false" outlineLevel="0" collapsed="false">
      <c r="A44" s="5" t="s">
        <v>292</v>
      </c>
      <c r="B44" s="21" t="str">
        <f aca="false">IF(IFERROR(AND(ISNUMBER(B5),ABS(01_Input_Template!B46-B5)&gt;01_Input_Template!B52),FALSE()),"WARNING","OK")</f>
        <v>OK</v>
      </c>
      <c r="C44" s="5" t="s">
        <v>283</v>
      </c>
      <c r="D44" s="7" t="str">
        <f aca="false">IF(IFERROR(AND(ISNUMBER(B5),ABS(01_Input_Template!B46-B5)&gt;01_Input_Template!B52),FALSE()),"Forecast revenue growth is far from the historical CAGR; review before publishing","Forecast sits within tolerance of the historical CAGR")</f>
        <v>Forecast sits within tolerance of the historical CAGR</v>
      </c>
    </row>
    <row r="45" customFormat="false" ht="15" hidden="false" customHeight="false" outlineLevel="0" collapsed="false">
      <c r="A45" s="5" t="s">
        <v>293</v>
      </c>
      <c r="B45" s="21" t="str">
        <f aca="false">IF(IFERROR(AND(ISNUMBER(01_Input_Template!B14),ISNUMBER(B8),ABS(01_Input_Template!B14-B8)/B8&gt;0.1),FALSE()),"WARNING","OK")</f>
        <v>OK</v>
      </c>
      <c r="C45" s="5" t="s">
        <v>283</v>
      </c>
      <c r="D45" s="7" t="str">
        <f aca="false">IF(IFERROR(AND(ISNUMBER(01_Input_Template!B14),ISNUMBER(B8),ABS(01_Input_Template!B14-B8)/B8&gt;0.1),FALSE()),"Quoted P/E differs from price divided by current-FY EPS by more than 10%; usually trailing-twelve-month versus fiscal-year","Quoted and implied P/E agree, or no quote supplied")</f>
        <v>Quoted and implied P/E agree, or no quote supplied</v>
      </c>
    </row>
    <row r="46" customFormat="false" ht="15" hidden="false" customHeight="false" outlineLevel="0" collapsed="false">
      <c r="A46" s="5" t="s">
        <v>294</v>
      </c>
      <c r="B46" s="21" t="str">
        <f aca="false">IF(IFERROR(OR(MIN(01_Input_Template!D22:F22)&lt;=0,AND(MIN(01_Input_Template!D22:F22)&gt;0,MAX(01_Input_Template!D22:F22)/MIN(01_Input_Template!D22:F22)&gt;3)),FALSE()),"WARNING","OK")</f>
        <v>OK</v>
      </c>
      <c r="C46" s="5" t="s">
        <v>283</v>
      </c>
      <c r="D46" s="7" t="str">
        <f aca="false">IF(IFERROR(OR(MIN(01_Input_Template!D22:F22)&lt;=0,AND(MIN(01_Input_Template!D22:F22)&gt;0,MAX(01_Input_Template!D22:F22)/MIN(01_Input_Template!D22:F22)&gt;3)),FALSE()),"Reported free cash flow is negative or swings more than threefold, use a normalised base, not the reported year","Reported free cash flow is steady over three years")</f>
        <v>Reported free cash flow is steady over three years</v>
      </c>
    </row>
    <row r="48" customFormat="false" ht="15" hidden="false" customHeight="false" outlineLevel="0" collapsed="false">
      <c r="A48" s="17" t="s">
        <v>295</v>
      </c>
      <c r="B48" s="22" t="n">
        <f aca="false">COUNTIF(B36:B46,"BLOCKING")</f>
        <v>0</v>
      </c>
      <c r="D48" s="7" t="s">
        <v>296</v>
      </c>
    </row>
    <row r="49" customFormat="false" ht="15" hidden="false" customHeight="false" outlineLevel="0" collapsed="false">
      <c r="A49" s="17" t="s">
        <v>297</v>
      </c>
      <c r="B49" s="22" t="n">
        <f aca="false">COUNTIF(B36:B46,"WARNING")</f>
        <v>0</v>
      </c>
      <c r="D49" s="7" t="s">
        <v>298</v>
      </c>
    </row>
    <row r="50" customFormat="false" ht="15" hidden="false" customHeight="false" outlineLevel="0" collapsed="false">
      <c r="A50" s="17" t="s">
        <v>299</v>
      </c>
      <c r="B50" s="18" t="n">
        <f aca="false">MAX(0,100-40*B48-10*B49)</f>
        <v>100</v>
      </c>
      <c r="D50" s="7" t="s">
        <v>300</v>
      </c>
    </row>
    <row r="52" customFormat="false" ht="15" hidden="false" customHeight="false" outlineLevel="0" collapsed="false">
      <c r="A52" s="3" t="s">
        <v>301</v>
      </c>
    </row>
    <row r="53" customFormat="false" ht="25.5" hidden="false" customHeight="true" outlineLevel="0" collapsed="false">
      <c r="A53" s="4" t="s">
        <v>68</v>
      </c>
      <c r="B53" s="4" t="s">
        <v>73</v>
      </c>
      <c r="C53" s="4" t="s">
        <v>302</v>
      </c>
      <c r="D53" s="4" t="s">
        <v>303</v>
      </c>
      <c r="E53" s="4" t="s">
        <v>304</v>
      </c>
      <c r="F53" s="4" t="s">
        <v>305</v>
      </c>
      <c r="G53" s="4" t="s">
        <v>306</v>
      </c>
      <c r="H53" s="4" t="s">
        <v>307</v>
      </c>
    </row>
    <row r="54" customFormat="false" ht="15" hidden="false" customHeight="false" outlineLevel="0" collapsed="false">
      <c r="A54" s="5" t="s">
        <v>76</v>
      </c>
      <c r="B54" s="19" t="n">
        <f aca="false">01_Input_Template!F19</f>
        <v>13500</v>
      </c>
      <c r="C54" s="19" t="n">
        <f aca="false">B54*(1+01_Input_Template!B46)</f>
        <v>14715</v>
      </c>
      <c r="D54" s="19" t="n">
        <f aca="false">C54*(1+01_Input_Template!B46)</f>
        <v>16039.35</v>
      </c>
      <c r="E54" s="19" t="n">
        <f aca="false">D54*(1+01_Input_Template!B46)</f>
        <v>17482.8915</v>
      </c>
      <c r="F54" s="19" t="n">
        <f aca="false">E54*(1+01_Input_Template!B46)</f>
        <v>19056.351735</v>
      </c>
      <c r="G54" s="19" t="n">
        <f aca="false">F54*(1+01_Input_Template!B46)</f>
        <v>20771.42339115</v>
      </c>
      <c r="H54" s="7" t="s">
        <v>142</v>
      </c>
    </row>
    <row r="55" customFormat="false" ht="15" hidden="false" customHeight="false" outlineLevel="0" collapsed="false">
      <c r="A55" s="5" t="s">
        <v>79</v>
      </c>
      <c r="B55" s="20" t="n">
        <f aca="false">01_Input_Template!F20</f>
        <v>6.85</v>
      </c>
      <c r="C55" s="20" t="n">
        <f aca="false">B55*(1+01_Input_Template!B47)</f>
        <v>7.535</v>
      </c>
      <c r="D55" s="20" t="n">
        <f aca="false">C55*(1+01_Input_Template!B47)</f>
        <v>8.2885</v>
      </c>
      <c r="E55" s="20" t="n">
        <f aca="false">D55*(1+01_Input_Template!B47)</f>
        <v>9.11735</v>
      </c>
      <c r="F55" s="20" t="n">
        <f aca="false">E55*(1+01_Input_Template!B47)</f>
        <v>10.029085</v>
      </c>
      <c r="G55" s="20" t="n">
        <f aca="false">F55*(1+01_Input_Template!B47)</f>
        <v>11.0319935</v>
      </c>
      <c r="H55" s="7" t="s">
        <v>145</v>
      </c>
    </row>
    <row r="56" customFormat="false" ht="15" hidden="false" customHeight="false" outlineLevel="0" collapsed="false">
      <c r="A56" s="5" t="s">
        <v>308</v>
      </c>
      <c r="B56" s="19" t="n">
        <f aca="false">B18</f>
        <v>6200</v>
      </c>
      <c r="C56" s="19" t="n">
        <f aca="false">B56*(1+01_Input_Template!B48)</f>
        <v>6758</v>
      </c>
      <c r="D56" s="19" t="n">
        <f aca="false">C56*(1+01_Input_Template!B48)</f>
        <v>7366.22</v>
      </c>
      <c r="E56" s="19" t="n">
        <f aca="false">D56*(1+01_Input_Template!B48)</f>
        <v>8029.1798</v>
      </c>
      <c r="F56" s="19" t="n">
        <f aca="false">E56*(1+01_Input_Template!B48)</f>
        <v>8751.805982</v>
      </c>
      <c r="G56" s="19" t="n">
        <f aca="false">F56*(1+01_Input_Template!B48)</f>
        <v>9539.46852038</v>
      </c>
      <c r="H56" s="7" t="s">
        <v>309</v>
      </c>
    </row>
    <row r="57" customFormat="false" ht="15" hidden="false" customHeight="false" outlineLevel="0" collapsed="false">
      <c r="A57" s="5" t="s">
        <v>310</v>
      </c>
      <c r="B57" s="20" t="n">
        <f aca="false">IFERROR(B56/01_Input_Template!B11,"n/a")</f>
        <v>6.2</v>
      </c>
      <c r="C57" s="20" t="n">
        <f aca="false">IFERROR(C56/01_Input_Template!B11,"n/a")</f>
        <v>6.758</v>
      </c>
      <c r="D57" s="20" t="n">
        <f aca="false">IFERROR(D56/01_Input_Template!B11,"n/a")</f>
        <v>7.36622</v>
      </c>
      <c r="E57" s="20" t="n">
        <f aca="false">IFERROR(E56/01_Input_Template!B11,"n/a")</f>
        <v>8.0291798</v>
      </c>
      <c r="F57" s="20" t="n">
        <f aca="false">IFERROR(F56/01_Input_Template!B11,"n/a")</f>
        <v>8.751805982</v>
      </c>
      <c r="G57" s="20" t="n">
        <f aca="false">IFERROR(G56/01_Input_Template!B11,"n/a")</f>
        <v>9.53946852038</v>
      </c>
      <c r="H57" s="7" t="s">
        <v>311</v>
      </c>
    </row>
    <row r="60" customFormat="false" ht="15" hidden="false" customHeight="false" outlineLevel="0" collapsed="false">
      <c r="A60" s="3" t="s">
        <v>312</v>
      </c>
    </row>
    <row r="61" customFormat="false" ht="25.5" hidden="false" customHeight="true" outlineLevel="0" collapsed="false">
      <c r="A61" s="4" t="s">
        <v>68</v>
      </c>
      <c r="B61" s="4" t="s">
        <v>313</v>
      </c>
      <c r="C61" s="4" t="s">
        <v>74</v>
      </c>
      <c r="D61" s="4" t="s">
        <v>314</v>
      </c>
    </row>
    <row r="62" customFormat="false" ht="15" hidden="false" customHeight="false" outlineLevel="0" collapsed="false">
      <c r="A62" s="5" t="s">
        <v>315</v>
      </c>
      <c r="B62" s="20" t="n">
        <f aca="false">IFERROR(C57/(1+01_Input_Template!B34)^1+D57/(1+01_Input_Template!B34)^2+E57/(1+01_Input_Template!B34)^3+F57/(1+01_Input_Template!B34)^4+G57/(1+01_Input_Template!B34)^5,"n/a")</f>
        <v>30.1647237698493</v>
      </c>
      <c r="C62" s="5" t="s">
        <v>36</v>
      </c>
      <c r="D62" s="7" t="s">
        <v>316</v>
      </c>
    </row>
    <row r="63" customFormat="false" ht="15" hidden="false" customHeight="false" outlineLevel="0" collapsed="false">
      <c r="A63" s="5" t="s">
        <v>317</v>
      </c>
      <c r="B63" s="20" t="n">
        <f aca="false">IF(01_Input_Template!B35&gt;=01_Input_Template!B34,"n/a",IFERROR(G57*(1+01_Input_Template!B35)/(01_Input_Template!B34-01_Input_Template!B35),"n/a"))</f>
        <v>130.372736445193</v>
      </c>
      <c r="C63" s="5" t="s">
        <v>36</v>
      </c>
      <c r="D63" s="7" t="s">
        <v>318</v>
      </c>
    </row>
    <row r="64" customFormat="false" ht="15" hidden="false" customHeight="false" outlineLevel="0" collapsed="false">
      <c r="A64" s="5" t="s">
        <v>319</v>
      </c>
      <c r="B64" s="20" t="n">
        <f aca="false">IFERROR(B63/(1+01_Input_Template!B34)^01_Input_Template!B36,"n/a")</f>
        <v>80.951212004392</v>
      </c>
      <c r="C64" s="5" t="s">
        <v>36</v>
      </c>
      <c r="D64" s="7" t="s">
        <v>320</v>
      </c>
    </row>
    <row r="65" customFormat="false" ht="15" hidden="false" customHeight="false" outlineLevel="0" collapsed="false">
      <c r="A65" s="5" t="s">
        <v>321</v>
      </c>
      <c r="B65" s="20" t="n">
        <f aca="false">IFERROR(B62+B64,"n/a")</f>
        <v>111.115935774241</v>
      </c>
      <c r="C65" s="5" t="s">
        <v>36</v>
      </c>
      <c r="D65" s="7" t="s">
        <v>322</v>
      </c>
    </row>
    <row r="66" customFormat="false" ht="15" hidden="false" customHeight="false" outlineLevel="0" collapsed="false">
      <c r="A66" s="5" t="s">
        <v>323</v>
      </c>
      <c r="B66" s="20" t="n">
        <f aca="false">IFERROR(G55*B19/(1+01_Input_Template!B34)^01_Input_Template!B36,"n/a")</f>
        <v>102.75</v>
      </c>
      <c r="C66" s="5" t="s">
        <v>36</v>
      </c>
      <c r="D66" s="7" t="s">
        <v>324</v>
      </c>
    </row>
    <row r="67" customFormat="false" ht="15" hidden="false" customHeight="false" outlineLevel="0" collapsed="false">
      <c r="A67" s="17" t="s">
        <v>325</v>
      </c>
      <c r="B67" s="23" t="n">
        <f aca="false">IF(B48&gt;0,"n/a",IFERROR(AVERAGE(B65,B66),"n/a"))</f>
        <v>106.932967887121</v>
      </c>
      <c r="C67" s="5" t="s">
        <v>36</v>
      </c>
      <c r="D67" s="7" t="s">
        <v>326</v>
      </c>
    </row>
    <row r="68" customFormat="false" ht="15" hidden="false" customHeight="false" outlineLevel="0" collapsed="false">
      <c r="A68" s="5" t="s">
        <v>327</v>
      </c>
      <c r="B68" s="24" t="n">
        <f aca="false">IF(B48&gt;0,"n/a",IFERROR(B67/01_Input_Template!B10-1,"n/a"))</f>
        <v>0.0693296788712063</v>
      </c>
      <c r="C68" s="5" t="s">
        <v>101</v>
      </c>
      <c r="D68" s="7" t="s">
        <v>328</v>
      </c>
    </row>
    <row r="69" customFormat="false" ht="15" hidden="false" customHeight="false" outlineLevel="0" collapsed="false">
      <c r="A69" s="5" t="s">
        <v>329</v>
      </c>
      <c r="B69" s="20" t="n">
        <f aca="false">IF(B48&gt;0,"n/a",IFERROR(B67*(1-01_Input_Template!B43),"n/a"))</f>
        <v>80.1997259153405</v>
      </c>
      <c r="C69" s="5" t="s">
        <v>36</v>
      </c>
      <c r="D69" s="7" t="s">
        <v>330</v>
      </c>
    </row>
    <row r="70" customFormat="false" ht="23.85" hidden="false" customHeight="false" outlineLevel="0" collapsed="false">
      <c r="A70" s="17" t="s">
        <v>331</v>
      </c>
      <c r="B70" s="25" t="str">
        <f aca="false">IF(B48&gt;0,"REVIEW",IFERROR(IF(AND(01_Input_Template!B10&lt;=B69,G11&gt;=70,B50&gt;=60),"BUY",IF(OR(01_Input_Template!B10&gt;B67*1.15,AND(ISNUMBER(B9),B9&gt;=01_Input_Template!B45),G11&lt;45),"SELL","HOLD")),"REVIEW"))</f>
        <v>HOLD</v>
      </c>
      <c r="C70" s="5" t="s">
        <v>332</v>
      </c>
      <c r="D70" s="7" t="s">
        <v>333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22"/>
    <col collapsed="false" customWidth="true" hidden="false" outlineLevel="0" max="4" min="4" style="0" width="56"/>
  </cols>
  <sheetData>
    <row r="1" customFormat="false" ht="17.35" hidden="false" customHeight="false" outlineLevel="0" collapsed="false">
      <c r="A1" s="1" t="s">
        <v>334</v>
      </c>
    </row>
    <row r="2" customFormat="false" ht="15" hidden="false" customHeight="false" outlineLevel="0" collapsed="false">
      <c r="A2" s="2" t="s">
        <v>335</v>
      </c>
    </row>
    <row r="3" customFormat="false" ht="15" hidden="false" customHeight="false" outlineLevel="0" collapsed="false">
      <c r="A3" s="3" t="s">
        <v>336</v>
      </c>
    </row>
    <row r="4" customFormat="false" ht="25.5" hidden="false" customHeight="true" outlineLevel="0" collapsed="false">
      <c r="A4" s="4" t="s">
        <v>337</v>
      </c>
      <c r="B4" s="4" t="s">
        <v>338</v>
      </c>
      <c r="C4" s="4" t="s">
        <v>339</v>
      </c>
      <c r="D4" s="4" t="s">
        <v>209</v>
      </c>
    </row>
    <row r="5" customFormat="false" ht="15" hidden="false" customHeight="false" outlineLevel="0" collapsed="false">
      <c r="A5" s="5" t="s">
        <v>340</v>
      </c>
      <c r="B5" s="21" t="str">
        <f aca="false">01_Input_Template!B7</f>
        <v>Example Co</v>
      </c>
      <c r="C5" s="5" t="s">
        <v>341</v>
      </c>
      <c r="D5" s="7" t="s">
        <v>342</v>
      </c>
    </row>
    <row r="6" customFormat="false" ht="15" hidden="false" customHeight="false" outlineLevel="0" collapsed="false">
      <c r="A6" s="5" t="s">
        <v>11</v>
      </c>
      <c r="B6" s="21" t="str">
        <f aca="false">01_Input_Template!B6</f>
        <v>DEMO</v>
      </c>
      <c r="C6" s="5" t="s">
        <v>341</v>
      </c>
      <c r="D6" s="7" t="s">
        <v>11</v>
      </c>
    </row>
    <row r="7" customFormat="false" ht="15" hidden="false" customHeight="false" outlineLevel="0" collapsed="false">
      <c r="A7" s="5" t="s">
        <v>343</v>
      </c>
      <c r="B7" s="20" t="n">
        <f aca="false">01_Input_Template!B10</f>
        <v>100</v>
      </c>
      <c r="C7" s="5" t="s">
        <v>341</v>
      </c>
      <c r="D7" s="7" t="s">
        <v>344</v>
      </c>
    </row>
    <row r="8" customFormat="false" ht="15" hidden="false" customHeight="false" outlineLevel="0" collapsed="false">
      <c r="A8" s="17" t="s">
        <v>325</v>
      </c>
      <c r="B8" s="23" t="n">
        <f aca="false">02_Derived_Values!B67</f>
        <v>106.932967887121</v>
      </c>
      <c r="C8" s="5" t="s">
        <v>345</v>
      </c>
      <c r="D8" s="7" t="s">
        <v>346</v>
      </c>
    </row>
    <row r="9" customFormat="false" ht="15" hidden="false" customHeight="false" outlineLevel="0" collapsed="false">
      <c r="A9" s="5" t="s">
        <v>327</v>
      </c>
      <c r="B9" s="24" t="n">
        <f aca="false">02_Derived_Values!B68</f>
        <v>0.0693296788712063</v>
      </c>
      <c r="C9" s="5" t="s">
        <v>345</v>
      </c>
      <c r="D9" s="7" t="s">
        <v>347</v>
      </c>
    </row>
    <row r="10" customFormat="false" ht="15" hidden="false" customHeight="false" outlineLevel="0" collapsed="false">
      <c r="A10" s="5" t="s">
        <v>329</v>
      </c>
      <c r="B10" s="20" t="n">
        <f aca="false">02_Derived_Values!B69</f>
        <v>80.1997259153405</v>
      </c>
      <c r="C10" s="5" t="s">
        <v>345</v>
      </c>
      <c r="D10" s="7" t="s">
        <v>330</v>
      </c>
    </row>
    <row r="11" customFormat="false" ht="15" hidden="false" customHeight="false" outlineLevel="0" collapsed="false">
      <c r="A11" s="5" t="s">
        <v>348</v>
      </c>
      <c r="B11" s="15" t="n">
        <f aca="false">02_Derived_Values!G11</f>
        <v>79.064285338922</v>
      </c>
      <c r="C11" s="5" t="s">
        <v>345</v>
      </c>
      <c r="D11" s="7" t="s">
        <v>349</v>
      </c>
    </row>
    <row r="12" customFormat="false" ht="15" hidden="false" customHeight="false" outlineLevel="0" collapsed="false">
      <c r="A12" s="17" t="s">
        <v>332</v>
      </c>
      <c r="B12" s="25" t="str">
        <f aca="false">02_Derived_Values!B70</f>
        <v>HOLD</v>
      </c>
      <c r="C12" s="5" t="s">
        <v>345</v>
      </c>
      <c r="D12" s="7" t="s">
        <v>350</v>
      </c>
    </row>
    <row r="13" customFormat="false" ht="15" hidden="false" customHeight="false" outlineLevel="0" collapsed="false">
      <c r="A13" s="5" t="s">
        <v>273</v>
      </c>
      <c r="B13" s="16" t="n">
        <f aca="false">02_Derived_Values!B9</f>
        <v>1.06627527811932</v>
      </c>
      <c r="C13" s="5" t="s">
        <v>345</v>
      </c>
      <c r="D13" s="7" t="s">
        <v>351</v>
      </c>
    </row>
    <row r="14" customFormat="false" ht="15" hidden="false" customHeight="false" outlineLevel="0" collapsed="false">
      <c r="A14" s="5" t="s">
        <v>352</v>
      </c>
      <c r="B14" s="20" t="n">
        <f aca="false">02_Derived_Values!B16</f>
        <v>6.85</v>
      </c>
      <c r="C14" s="5" t="s">
        <v>345</v>
      </c>
      <c r="D14" s="7" t="s">
        <v>249</v>
      </c>
    </row>
    <row r="15" customFormat="false" ht="15" hidden="false" customHeight="false" outlineLevel="0" collapsed="false">
      <c r="A15" s="5" t="s">
        <v>299</v>
      </c>
      <c r="B15" s="15" t="n">
        <f aca="false">02_Derived_Values!B50</f>
        <v>100</v>
      </c>
      <c r="C15" s="5" t="s">
        <v>345</v>
      </c>
      <c r="D15" s="7" t="s">
        <v>353</v>
      </c>
    </row>
    <row r="18" customFormat="false" ht="15" hidden="false" customHeight="false" outlineLevel="0" collapsed="false">
      <c r="A18" s="3" t="s">
        <v>354</v>
      </c>
    </row>
    <row r="19" customFormat="false" ht="25.5" hidden="false" customHeight="true" outlineLevel="0" collapsed="false">
      <c r="A19" s="4" t="s">
        <v>68</v>
      </c>
      <c r="B19" s="4" t="s">
        <v>211</v>
      </c>
      <c r="C19" s="4" t="s">
        <v>209</v>
      </c>
    </row>
    <row r="20" customFormat="false" ht="15" hidden="false" customHeight="false" outlineLevel="0" collapsed="false">
      <c r="A20" s="5" t="s">
        <v>215</v>
      </c>
      <c r="B20" s="15" t="n">
        <f aca="false">02_Derived_Values!G5</f>
        <v>70.372805629535</v>
      </c>
      <c r="C20" s="21" t="str">
        <f aca="false">IF(B20&gt;=75,"Strong",IF(B20&gt;=50,"Neutral","Weak"))</f>
        <v>Neutral</v>
      </c>
    </row>
    <row r="21" customFormat="false" ht="15" hidden="false" customHeight="false" outlineLevel="0" collapsed="false">
      <c r="A21" s="5" t="s">
        <v>219</v>
      </c>
      <c r="B21" s="15" t="n">
        <f aca="false">02_Derived_Values!G6</f>
        <v>100</v>
      </c>
      <c r="C21" s="21" t="str">
        <f aca="false">IF(B21&gt;=75,"Strong",IF(B21&gt;=50,"Neutral","Weak"))</f>
        <v>Strong</v>
      </c>
    </row>
    <row r="22" customFormat="false" ht="15" hidden="false" customHeight="false" outlineLevel="0" collapsed="false">
      <c r="A22" s="5" t="s">
        <v>90</v>
      </c>
      <c r="B22" s="15" t="n">
        <f aca="false">02_Derived_Values!G7</f>
        <v>96.7397450395806</v>
      </c>
      <c r="C22" s="21" t="str">
        <f aca="false">IF(B22&gt;=75,"Strong",IF(B22&gt;=50,"Neutral","Weak"))</f>
        <v>Strong</v>
      </c>
    </row>
    <row r="23" customFormat="false" ht="15" hidden="false" customHeight="false" outlineLevel="0" collapsed="false">
      <c r="A23" s="5" t="s">
        <v>226</v>
      </c>
      <c r="B23" s="15" t="n">
        <f aca="false">02_Derived_Values!G8</f>
        <v>94.6979777504542</v>
      </c>
      <c r="C23" s="21" t="str">
        <f aca="false">IF(B23&gt;=75,"Attractive",IF(B23&gt;=50,"Neutral","Expensive"))</f>
        <v>Attractive</v>
      </c>
    </row>
    <row r="24" customFormat="false" ht="15" hidden="false" customHeight="false" outlineLevel="0" collapsed="false">
      <c r="A24" s="5" t="s">
        <v>230</v>
      </c>
      <c r="B24" s="15" t="n">
        <f aca="false">02_Derived_Values!G9</f>
        <v>31.9329678871206</v>
      </c>
      <c r="C24" s="21" t="str">
        <f aca="false">IF(B24&gt;=75,"MOS attractive",IF(B24&gt;=50,"MOS partial","MOS limited"))</f>
        <v>MOS limited</v>
      </c>
    </row>
    <row r="25" customFormat="false" ht="15" hidden="false" customHeight="false" outlineLevel="0" collapsed="false">
      <c r="A25" s="5" t="s">
        <v>234</v>
      </c>
      <c r="B25" s="15" t="n">
        <f aca="false">02_Derived_Values!G10</f>
        <v>80</v>
      </c>
      <c r="C25" s="21" t="str">
        <f aca="false">IF(B25&gt;=75,"Strong",IF(B25&gt;=50,"Neutral","Weak"))</f>
        <v>Strong</v>
      </c>
    </row>
    <row r="28" customFormat="false" ht="15" hidden="false" customHeight="false" outlineLevel="0" collapsed="false">
      <c r="A28" s="3" t="s">
        <v>355</v>
      </c>
    </row>
    <row r="29" customFormat="false" ht="25.5" hidden="false" customHeight="true" outlineLevel="0" collapsed="false">
      <c r="A29" s="4" t="s">
        <v>356</v>
      </c>
      <c r="B29" s="4" t="s">
        <v>357</v>
      </c>
      <c r="C29" s="4" t="s">
        <v>358</v>
      </c>
    </row>
    <row r="30" customFormat="false" ht="15" hidden="false" customHeight="false" outlineLevel="0" collapsed="false">
      <c r="A30" s="5" t="s">
        <v>359</v>
      </c>
      <c r="B30" s="20" t="n">
        <f aca="false">01_Input_Template!B10</f>
        <v>100</v>
      </c>
      <c r="C30" s="7" t="s">
        <v>360</v>
      </c>
    </row>
    <row r="31" customFormat="false" ht="23.85" hidden="false" customHeight="false" outlineLevel="0" collapsed="false">
      <c r="A31" s="5" t="s">
        <v>361</v>
      </c>
      <c r="B31" s="20" t="n">
        <f aca="false">02_Derived_Values!B65</f>
        <v>111.115935774241</v>
      </c>
      <c r="C31" s="7" t="s">
        <v>362</v>
      </c>
    </row>
    <row r="32" customFormat="false" ht="23.85" hidden="false" customHeight="false" outlineLevel="0" collapsed="false">
      <c r="A32" s="5" t="s">
        <v>363</v>
      </c>
      <c r="B32" s="20" t="n">
        <f aca="false">02_Derived_Values!B66</f>
        <v>102.75</v>
      </c>
      <c r="C32" s="7" t="s">
        <v>364</v>
      </c>
    </row>
    <row r="33" customFormat="false" ht="15" hidden="false" customHeight="false" outlineLevel="0" collapsed="false">
      <c r="A33" s="5" t="s">
        <v>365</v>
      </c>
      <c r="B33" s="20" t="n">
        <f aca="false">02_Derived_Values!B67</f>
        <v>106.932967887121</v>
      </c>
      <c r="C33" s="7" t="s">
        <v>366</v>
      </c>
    </row>
    <row r="34" customFormat="false" ht="23.85" hidden="false" customHeight="false" outlineLevel="0" collapsed="false">
      <c r="A34" s="5" t="s">
        <v>367</v>
      </c>
      <c r="B34" s="20" t="n">
        <f aca="false">02_Derived_Values!B69</f>
        <v>80.1997259153405</v>
      </c>
      <c r="C34" s="7" t="s">
        <v>368</v>
      </c>
    </row>
    <row r="37" customFormat="false" ht="15" hidden="false" customHeight="false" outlineLevel="0" collapsed="false">
      <c r="A37" s="3" t="s">
        <v>369</v>
      </c>
    </row>
    <row r="38" customFormat="false" ht="25.5" hidden="false" customHeight="true" outlineLevel="0" collapsed="false">
      <c r="A38" s="4" t="s">
        <v>98</v>
      </c>
      <c r="B38" s="4" t="s">
        <v>370</v>
      </c>
      <c r="C38" s="4" t="s">
        <v>371</v>
      </c>
      <c r="D38" s="4" t="s">
        <v>279</v>
      </c>
    </row>
    <row r="39" customFormat="false" ht="15" hidden="false" customHeight="false" outlineLevel="0" collapsed="false">
      <c r="A39" s="5" t="s">
        <v>259</v>
      </c>
      <c r="B39" s="14" t="n">
        <f aca="false">01_Input_Template!B46</f>
        <v>0.09</v>
      </c>
      <c r="C39" s="14" t="n">
        <f aca="false">02_Derived_Values!B5</f>
        <v>0.139753528477389</v>
      </c>
      <c r="D39" s="21" t="str">
        <f aca="false">IF(NOT(ISNUMBER(C39)),"No history",IF(ABS(B39-C39)&gt;01_Input_Template!B52,"Review","In line"))</f>
        <v>In line</v>
      </c>
    </row>
    <row r="40" customFormat="false" ht="15" hidden="false" customHeight="false" outlineLevel="0" collapsed="false">
      <c r="A40" s="5" t="s">
        <v>261</v>
      </c>
      <c r="B40" s="14" t="n">
        <f aca="false">01_Input_Template!B47</f>
        <v>0.1</v>
      </c>
      <c r="C40" s="14" t="n">
        <f aca="false">02_Derived_Values!B6</f>
        <v>0.13691155038063</v>
      </c>
      <c r="D40" s="21" t="str">
        <f aca="false">IF(NOT(ISNUMBER(C40)),"No history",IF(ABS(B40-C40)&gt;01_Input_Template!B52,"Review","In line"))</f>
        <v>In line</v>
      </c>
    </row>
    <row r="41" customFormat="false" ht="15" hidden="false" customHeight="false" outlineLevel="0" collapsed="false">
      <c r="A41" s="5" t="s">
        <v>263</v>
      </c>
      <c r="B41" s="14" t="n">
        <f aca="false">01_Input_Template!B48</f>
        <v>0.09</v>
      </c>
      <c r="C41" s="14" t="n">
        <f aca="false">02_Derived_Values!B7</f>
        <v>0.145571754919191</v>
      </c>
      <c r="D41" s="21" t="str">
        <f aca="false">IF(NOT(ISNUMBER(C41)),"No history",IF(ABS(B41-C41)&gt;01_Input_Template!B52,"Review","In line"))</f>
        <v>Review</v>
      </c>
    </row>
    <row r="42" customFormat="false" ht="15" hidden="false" customHeight="false" outlineLevel="0" collapsed="false">
      <c r="A42" s="5" t="s">
        <v>372</v>
      </c>
      <c r="B42" s="16" t="n">
        <f aca="false">02_Derived_Values!B19</f>
        <v>15</v>
      </c>
      <c r="C42" s="16" t="n">
        <f aca="false">02_Derived_Values!B8</f>
        <v>14.5985401459854</v>
      </c>
      <c r="D42" s="21" t="str">
        <f aca="false">IF(NOT(ISNUMBER(C42)),"No history",IF(B42&lt;C42*0.5,"Far below today","In range"))</f>
        <v>In range</v>
      </c>
    </row>
    <row r="43" customFormat="false" ht="15" hidden="false" customHeight="false" outlineLevel="0" collapsed="false">
      <c r="A43" s="5" t="s">
        <v>373</v>
      </c>
      <c r="B43" s="19" t="n">
        <f aca="false">02_Derived_Values!B18</f>
        <v>6200</v>
      </c>
      <c r="C43" s="19" t="n">
        <f aca="false">01_Input_Template!F22</f>
        <v>6200</v>
      </c>
      <c r="D43" s="21" t="str">
        <f aca="false">IF(ABS(B43-C43)/MAX(1,ABS(C43))&gt;0.2,"Normalised","As reported")</f>
        <v>As reported</v>
      </c>
    </row>
    <row r="46" customFormat="false" ht="15" hidden="false" customHeight="false" outlineLevel="0" collapsed="false">
      <c r="A46" s="3" t="s">
        <v>374</v>
      </c>
    </row>
    <row r="47" customFormat="false" ht="25.5" hidden="false" customHeight="true" outlineLevel="0" collapsed="false">
      <c r="A47" s="4" t="s">
        <v>278</v>
      </c>
      <c r="B47" s="4" t="s">
        <v>279</v>
      </c>
      <c r="C47" s="4" t="s">
        <v>281</v>
      </c>
    </row>
    <row r="48" customFormat="false" ht="15" hidden="false" customHeight="false" outlineLevel="0" collapsed="false">
      <c r="A48" s="5" t="str">
        <f aca="false">02_Derived_Values!A36</f>
        <v>Revenue CAGR computable</v>
      </c>
      <c r="B48" s="21" t="str">
        <f aca="false">02_Derived_Values!B36</f>
        <v>OK</v>
      </c>
      <c r="C48" s="26" t="str">
        <f aca="false">02_Derived_Values!D36</f>
        <v>Four-year CAGR calculated</v>
      </c>
    </row>
    <row r="49" customFormat="false" ht="15" hidden="false" customHeight="false" outlineLevel="0" collapsed="false">
      <c r="A49" s="5" t="str">
        <f aca="false">02_Derived_Values!A37</f>
        <v>EPS CAGR computable</v>
      </c>
      <c r="B49" s="21" t="str">
        <f aca="false">02_Derived_Values!B37</f>
        <v>OK</v>
      </c>
      <c r="C49" s="26" t="str">
        <f aca="false">02_Derived_Values!D37</f>
        <v>Four-year CAGR calculated</v>
      </c>
    </row>
    <row r="50" customFormat="false" ht="15" hidden="false" customHeight="false" outlineLevel="0" collapsed="false">
      <c r="A50" s="5" t="str">
        <f aca="false">02_Derived_Values!A38</f>
        <v>FCF CAGR computable</v>
      </c>
      <c r="B50" s="21" t="str">
        <f aca="false">02_Derived_Values!B38</f>
        <v>OK</v>
      </c>
      <c r="C50" s="26" t="str">
        <f aca="false">02_Derived_Values!D38</f>
        <v>Four-year CAGR calculated</v>
      </c>
    </row>
    <row r="51" customFormat="false" ht="23.85" hidden="false" customHeight="false" outlineLevel="0" collapsed="false">
      <c r="A51" s="5" t="str">
        <f aca="false">02_Derived_Values!A39</f>
        <v>Terminal growth below discount rate</v>
      </c>
      <c r="B51" s="21" t="str">
        <f aca="false">02_Derived_Values!B39</f>
        <v>OK</v>
      </c>
      <c r="C51" s="26" t="str">
        <f aca="false">02_Derived_Values!D39</f>
        <v>Gordon growth is well defined</v>
      </c>
    </row>
    <row r="52" customFormat="false" ht="15" hidden="false" customHeight="false" outlineLevel="0" collapsed="false">
      <c r="A52" s="5" t="str">
        <f aca="false">02_Derived_Values!A40</f>
        <v>Score weights sum to 100%</v>
      </c>
      <c r="B52" s="21" t="str">
        <f aca="false">02_Derived_Values!B40</f>
        <v>OK</v>
      </c>
      <c r="C52" s="26" t="str">
        <f aca="false">02_Derived_Values!D40</f>
        <v>Weights sum to 100%</v>
      </c>
    </row>
    <row r="53" customFormat="false" ht="23.85" hidden="false" customHeight="false" outlineLevel="0" collapsed="false">
      <c r="A53" s="5" t="str">
        <f aca="false">02_Derived_Values!A41</f>
        <v>Price and share count present</v>
      </c>
      <c r="B53" s="21" t="str">
        <f aca="false">02_Derived_Values!B41</f>
        <v>OK</v>
      </c>
      <c r="C53" s="26" t="str">
        <f aca="false">02_Derived_Values!D41</f>
        <v>Price and share count present</v>
      </c>
    </row>
    <row r="54" customFormat="false" ht="15" hidden="false" customHeight="false" outlineLevel="0" collapsed="false">
      <c r="A54" s="5" t="str">
        <f aca="false">02_Derived_Values!A42</f>
        <v>Normalised FCF base positive</v>
      </c>
      <c r="B54" s="21" t="str">
        <f aca="false">02_Derived_Values!B42</f>
        <v>OK</v>
      </c>
      <c r="C54" s="26" t="str">
        <f aca="false">02_Derived_Values!D42</f>
        <v>Cash base is positive</v>
      </c>
    </row>
    <row r="55" customFormat="false" ht="23.85" hidden="false" customHeight="false" outlineLevel="0" collapsed="false">
      <c r="A55" s="5" t="str">
        <f aca="false">02_Derived_Values!A43</f>
        <v>Forecast EPS growth consistent with history</v>
      </c>
      <c r="B55" s="21" t="str">
        <f aca="false">02_Derived_Values!B43</f>
        <v>OK</v>
      </c>
      <c r="C55" s="26" t="str">
        <f aca="false">02_Derived_Values!D43</f>
        <v>Forecast sits within tolerance of the historical CAGR</v>
      </c>
    </row>
    <row r="56" customFormat="false" ht="23.85" hidden="false" customHeight="false" outlineLevel="0" collapsed="false">
      <c r="A56" s="5" t="str">
        <f aca="false">02_Derived_Values!A44</f>
        <v>Forecast revenue growth consistent with history</v>
      </c>
      <c r="B56" s="21" t="str">
        <f aca="false">02_Derived_Values!B44</f>
        <v>OK</v>
      </c>
      <c r="C56" s="26" t="str">
        <f aca="false">02_Derived_Values!D44</f>
        <v>Forecast sits within tolerance of the historical CAGR</v>
      </c>
    </row>
    <row r="57" customFormat="false" ht="23.85" hidden="false" customHeight="false" outlineLevel="0" collapsed="false">
      <c r="A57" s="5" t="str">
        <f aca="false">02_Derived_Values!A45</f>
        <v>Quoted P/E agrees with price / EPS</v>
      </c>
      <c r="B57" s="21" t="str">
        <f aca="false">02_Derived_Values!B45</f>
        <v>OK</v>
      </c>
      <c r="C57" s="26" t="str">
        <f aca="false">02_Derived_Values!D45</f>
        <v>Quoted and implied P/E agree, or no quote supplied</v>
      </c>
    </row>
    <row r="58" customFormat="false" ht="23.85" hidden="false" customHeight="false" outlineLevel="0" collapsed="false">
      <c r="A58" s="5" t="str">
        <f aca="false">02_Derived_Values!A46</f>
        <v>Reported cash flow is stable</v>
      </c>
      <c r="B58" s="21" t="str">
        <f aca="false">02_Derived_Values!B46</f>
        <v>OK</v>
      </c>
      <c r="C58" s="26" t="str">
        <f aca="false">02_Derived_Values!D46</f>
        <v>Reported free cash flow is steady over three years</v>
      </c>
    </row>
    <row r="61" customFormat="false" ht="15" hidden="false" customHeight="false" outlineLevel="0" collapsed="false">
      <c r="A61" s="3" t="s">
        <v>375</v>
      </c>
    </row>
    <row r="62" customFormat="false" ht="25.5" hidden="false" customHeight="true" outlineLevel="0" collapsed="false">
      <c r="A62" s="4" t="s">
        <v>376</v>
      </c>
      <c r="B62" s="4" t="s">
        <v>377</v>
      </c>
      <c r="C62" s="4" t="s">
        <v>378</v>
      </c>
      <c r="D62" s="4" t="s">
        <v>209</v>
      </c>
    </row>
    <row r="63" customFormat="false" ht="15" hidden="false" customHeight="false" outlineLevel="0" collapsed="false">
      <c r="A63" s="5" t="s">
        <v>379</v>
      </c>
      <c r="B63" s="19" t="n">
        <f aca="false">02_Derived_Values!G54</f>
        <v>20771.42339115</v>
      </c>
      <c r="C63" s="5" t="s">
        <v>380</v>
      </c>
      <c r="D63" s="7" t="s">
        <v>381</v>
      </c>
    </row>
    <row r="64" customFormat="false" ht="15" hidden="false" customHeight="false" outlineLevel="0" collapsed="false">
      <c r="A64" s="5" t="s">
        <v>382</v>
      </c>
      <c r="B64" s="20" t="n">
        <f aca="false">02_Derived_Values!G55</f>
        <v>11.0319935</v>
      </c>
      <c r="C64" s="5" t="s">
        <v>380</v>
      </c>
      <c r="D64" s="7" t="s">
        <v>383</v>
      </c>
    </row>
    <row r="65" customFormat="false" ht="15" hidden="false" customHeight="false" outlineLevel="0" collapsed="false">
      <c r="A65" s="5" t="s">
        <v>384</v>
      </c>
      <c r="B65" s="19" t="n">
        <f aca="false">02_Derived_Values!G56</f>
        <v>9539.46852038</v>
      </c>
      <c r="C65" s="5" t="s">
        <v>380</v>
      </c>
      <c r="D65" s="7" t="s">
        <v>385</v>
      </c>
    </row>
    <row r="66" customFormat="false" ht="15" hidden="false" customHeight="false" outlineLevel="0" collapsed="false">
      <c r="A66" s="5" t="s">
        <v>386</v>
      </c>
      <c r="B66" s="20" t="n">
        <f aca="false">02_Derived_Values!G57</f>
        <v>9.53946852038</v>
      </c>
      <c r="C66" s="5" t="s">
        <v>380</v>
      </c>
      <c r="D66" s="7" t="s">
        <v>387</v>
      </c>
    </row>
    <row r="67" customFormat="false" ht="35.05" hidden="false" customHeight="false" outlineLevel="0" collapsed="false">
      <c r="A67" s="5" t="s">
        <v>388</v>
      </c>
      <c r="B67" s="26" t="str">
        <f aca="false">IF(B12="REVIEW","Not rated: the model has raised a blocking flag on its own inputs. Resolve the flags on the Derived Values sheet before quoting a fair value.",IF(B12="BUY","Quality and valuation align, and the price sits below the margin-of-safety entry point.",IF(B12="SELL","The price exceeds the blended fair value by more than the tolerance, or the quality and PEG tests fail.","Neither the valuation nor the quality case is decisive at this price.")))</f>
        <v>Neither the valuation nor the quality case is decisive at this price.</v>
      </c>
      <c r="C67" s="5" t="s">
        <v>389</v>
      </c>
      <c r="D67" s="7" t="s">
        <v>390</v>
      </c>
    </row>
    <row r="70" customFormat="false" ht="15" hidden="false" customHeight="false" outlineLevel="0" collapsed="false">
      <c r="A70" s="17" t="s">
        <v>391</v>
      </c>
    </row>
    <row r="71" customFormat="false" ht="57.45" hidden="false" customHeight="false" outlineLevel="0" collapsed="false">
      <c r="A71" s="7" t="s">
        <v>392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2026-09-19T12:26:59Z</dcterms:created>
  <dc:creator>openpyxl</dc:creator>
  <dc:description/>
  <dc:language>en-US</dc:language>
  <cp:lastModifiedBy/>
  <dcterms:modified xsi:type="dcterms:W3CDTF">2026-09-19T12:26:59Z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